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codeName="ThisWorkbook"/>
  <mc:AlternateContent xmlns:mc="http://schemas.openxmlformats.org/markup-compatibility/2006">
    <mc:Choice Requires="x15">
      <x15ac:absPath xmlns:x15ac="http://schemas.microsoft.com/office/spreadsheetml/2010/11/ac" url="https://wsponlinenam-my.sharepoint.com/personal/bakai_ruslanbekuulu_wsp_com/Documents/Grants/RAISE 2024/City of Covington/Final BCA Package/"/>
    </mc:Choice>
  </mc:AlternateContent>
  <xr:revisionPtr revIDLastSave="2" documentId="8_{E0B1E946-0D81-4833-B0E1-1B2B59EE7062}" xr6:coauthVersionLast="47" xr6:coauthVersionMax="47" xr10:uidLastSave="{02EF95E2-470B-48C8-BE31-0047090522D4}"/>
  <bookViews>
    <workbookView xWindow="-28920" yWindow="-120" windowWidth="29040" windowHeight="15840" xr2:uid="{3FFA90C9-95BC-4FF5-A4E9-8FA9C8939A9A}"/>
  </bookViews>
  <sheets>
    <sheet name="Guide for Reviewers" sheetId="1" r:id="rId1"/>
    <sheet name="Narrative Tables" sheetId="19" r:id="rId2"/>
    <sheet name="Report Tables" sheetId="70" r:id="rId3"/>
    <sheet name="EmissionsCost_Lookup" sheetId="43" r:id="rId4"/>
    <sheet name="Project Assumptions" sheetId="32" r:id="rId5"/>
    <sheet name="BCA Summary" sheetId="45" r:id="rId6"/>
    <sheet name="Intermediate Calcs" sheetId="44" r:id="rId7"/>
    <sheet name="Capital Costs" sheetId="73" r:id="rId8"/>
    <sheet name="Repurposed ROW" sheetId="66" r:id="rId9"/>
    <sheet name="O&amp;M" sheetId="61" r:id="rId10"/>
    <sheet name="Safety - Old" sheetId="46" state="hidden" r:id="rId11"/>
    <sheet name="Emissions_Lookup_35mph" sheetId="77" r:id="rId12"/>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2</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nnual_factor" localSheetId="11">#REF!</definedName>
    <definedName name="annual_factor">'Project Assumptions'!$G$8</definedName>
    <definedName name="CostStart" localSheetId="11" hidden="1">Emissions_Lookup_35mph!#REF!</definedName>
    <definedName name="CostStart" hidden="1">#REF!</definedName>
    <definedName name="escalation_rate">'Project Assumptions'!$G$7</definedName>
    <definedName name="HTML_CodePage" hidden="1">1252</definedName>
    <definedName name="HTML_Control" localSheetId="11" hidden="1">{"'2-35'!$A$1:$M$48"}</definedName>
    <definedName name="HTML_Control" hidden="1">{"'2-35'!$A$1:$M$48"}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tasks\nts2000\nts2000\HTML\Ch2_web\2-35.htm"</definedName>
    <definedName name="HTML_Title" hidden="1">"Table 2-35"</definedName>
    <definedName name="Pal_Workbook_GUID" hidden="1">"3XHXXQSLF67LVVUJ7F3SICY8"</definedName>
    <definedName name="RiskAfterRecalcMacro" hidden="1">""</definedName>
    <definedName name="RiskAfterSimMacro" hidden="1">"CopyPaste"</definedName>
    <definedName name="RiskBeforeRecalcMacro" hidden="1">""</definedName>
    <definedName name="RiskBeforeSimMacro" hidden="1">"ClearProjectSelection"</definedName>
    <definedName name="RiskCollectDistributionSamples" hidden="1">0</definedName>
    <definedName name="RiskFixedSeed" hidden="1">1917</definedName>
    <definedName name="RiskHasSettings" hidden="1">7</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SwapState" hidden="1">FALSE</definedName>
    <definedName name="RiskUpdateDisplay" hidden="1">FALSE</definedName>
    <definedName name="RiskUseDifferentSeedForEachSim" hidden="1">FALSE</definedName>
    <definedName name="RiskUseFixedSeed" hidden="1">TRUE</definedName>
    <definedName name="RiskUseMultipleCPUs" hidden="1">FALSE</definedName>
    <definedName name="Sensitivity" localSheetId="11">Emissions_Lookup_35mph!#REF!</definedName>
    <definedName name="Sensitivity" localSheetId="2">'Report Tables'!#REF!</definedName>
    <definedName name="Sensitivity">'Narrative Tables'!#REF!</definedName>
    <definedName name="Sensitivity_Scenarios" localSheetId="11">#REF!</definedName>
    <definedName name="Sensitivity_Scenarios" localSheetId="2">'Report Tables'!#REF!</definedName>
    <definedName name="Sensitivity_Scenarios">'Narrative Tables'!#REF!</definedName>
  </definedNames>
  <calcPr calcId="191028" iterateCount="10000"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2" i="70" l="1"/>
  <c r="BB98" i="44"/>
  <c r="BA98" i="44"/>
  <c r="AZ98" i="44"/>
  <c r="AY98" i="44"/>
  <c r="AX98" i="44"/>
  <c r="AW98" i="44"/>
  <c r="AV98" i="44"/>
  <c r="AU98" i="44"/>
  <c r="AT98" i="44"/>
  <c r="AS98" i="44"/>
  <c r="AR98" i="44"/>
  <c r="AQ98" i="44"/>
  <c r="AP98" i="44"/>
  <c r="AO98" i="44"/>
  <c r="AN98" i="44"/>
  <c r="AM98" i="44"/>
  <c r="AL98" i="44"/>
  <c r="AK98" i="44"/>
  <c r="AJ98" i="44"/>
  <c r="AI98" i="44"/>
  <c r="AH98" i="44"/>
  <c r="AG98" i="44"/>
  <c r="AF98" i="44"/>
  <c r="AE98" i="44"/>
  <c r="AD98" i="44"/>
  <c r="AC98" i="44"/>
  <c r="AB98" i="44"/>
  <c r="AA98" i="44"/>
  <c r="Z98" i="44"/>
  <c r="Y98" i="44"/>
  <c r="X98" i="44"/>
  <c r="W98" i="44"/>
  <c r="V98" i="44"/>
  <c r="U98" i="44"/>
  <c r="T98" i="44"/>
  <c r="S98" i="44"/>
  <c r="R98" i="44"/>
  <c r="Q98" i="44"/>
  <c r="O98" i="44"/>
  <c r="N98" i="44"/>
  <c r="M98" i="44"/>
  <c r="L98" i="44"/>
  <c r="K98" i="44"/>
  <c r="J98" i="44"/>
  <c r="I98" i="44"/>
  <c r="E32" i="70"/>
  <c r="H6" i="73"/>
  <c r="G9" i="66"/>
  <c r="F159" i="70"/>
  <c r="E159" i="70"/>
  <c r="C155" i="70"/>
  <c r="E111" i="70"/>
  <c r="E110" i="70"/>
  <c r="G73" i="32"/>
  <c r="G77" i="32"/>
  <c r="F109" i="70"/>
  <c r="E109" i="70"/>
  <c r="E108" i="70"/>
  <c r="D108" i="70"/>
  <c r="E107" i="70"/>
  <c r="D107" i="70"/>
  <c r="E106" i="70"/>
  <c r="D106" i="70"/>
  <c r="E105" i="70"/>
  <c r="D105" i="70"/>
  <c r="C108" i="70"/>
  <c r="C107" i="70"/>
  <c r="C106" i="70"/>
  <c r="C105" i="70"/>
  <c r="G69" i="32"/>
  <c r="E82" i="70"/>
  <c r="E81" i="70"/>
  <c r="E80" i="70"/>
  <c r="E79" i="70"/>
  <c r="E97" i="70"/>
  <c r="F92" i="70"/>
  <c r="G62" i="32"/>
  <c r="G126" i="44"/>
  <c r="G130" i="44"/>
  <c r="BB64" i="44"/>
  <c r="BA64" i="44"/>
  <c r="AZ64" i="44"/>
  <c r="AY64" i="44"/>
  <c r="AX64" i="44"/>
  <c r="AW64" i="44"/>
  <c r="AV64" i="44"/>
  <c r="AU64" i="44"/>
  <c r="AT64" i="44"/>
  <c r="AS64" i="44"/>
  <c r="AR64" i="44"/>
  <c r="AQ64" i="44"/>
  <c r="AP64" i="44"/>
  <c r="AO64" i="44"/>
  <c r="AN64" i="44"/>
  <c r="AM64" i="44"/>
  <c r="AL64" i="44"/>
  <c r="AK64" i="44"/>
  <c r="AJ64" i="44"/>
  <c r="AI64" i="44"/>
  <c r="AH64" i="44"/>
  <c r="AG64" i="44"/>
  <c r="AF64" i="44"/>
  <c r="AE64" i="44"/>
  <c r="AD64" i="44"/>
  <c r="AC64" i="44"/>
  <c r="AB64" i="44"/>
  <c r="AA64" i="44"/>
  <c r="Z64" i="44"/>
  <c r="Y64" i="44"/>
  <c r="X64" i="44"/>
  <c r="W64" i="44"/>
  <c r="V64" i="44"/>
  <c r="U64" i="44"/>
  <c r="T64" i="44"/>
  <c r="S64" i="44"/>
  <c r="R64" i="44"/>
  <c r="Q64" i="44"/>
  <c r="P64" i="44"/>
  <c r="O64" i="44"/>
  <c r="N64" i="44"/>
  <c r="M64" i="44"/>
  <c r="L64" i="44"/>
  <c r="K64" i="44"/>
  <c r="J64" i="44"/>
  <c r="I64" i="44"/>
  <c r="BB63" i="44"/>
  <c r="BA63" i="44"/>
  <c r="AZ63" i="44"/>
  <c r="AY63" i="44"/>
  <c r="AX63" i="44"/>
  <c r="AW63" i="44"/>
  <c r="AV63" i="44"/>
  <c r="AU63" i="44"/>
  <c r="AT63" i="44"/>
  <c r="AS63" i="44"/>
  <c r="AR63" i="44"/>
  <c r="AQ63" i="44"/>
  <c r="AP63" i="44"/>
  <c r="AO63" i="44"/>
  <c r="AN63" i="44"/>
  <c r="AM63" i="44"/>
  <c r="AL63" i="44"/>
  <c r="AK63" i="44"/>
  <c r="AJ63" i="44"/>
  <c r="AI63" i="44"/>
  <c r="AH63" i="44"/>
  <c r="AG63" i="44"/>
  <c r="AF63" i="44"/>
  <c r="AE63" i="44"/>
  <c r="AD63" i="44"/>
  <c r="AC63" i="44"/>
  <c r="AB63" i="44"/>
  <c r="AA63" i="44"/>
  <c r="Z63" i="44"/>
  <c r="Y63" i="44"/>
  <c r="X63" i="44"/>
  <c r="W63" i="44"/>
  <c r="V63" i="44"/>
  <c r="U63" i="44"/>
  <c r="T63" i="44"/>
  <c r="S63" i="44"/>
  <c r="R63" i="44"/>
  <c r="Q63" i="44"/>
  <c r="P63" i="44"/>
  <c r="O63" i="44"/>
  <c r="N63" i="44"/>
  <c r="M63" i="44"/>
  <c r="L63" i="44"/>
  <c r="K63" i="44"/>
  <c r="J63" i="44"/>
  <c r="I63" i="44"/>
  <c r="BB62" i="44"/>
  <c r="BA62" i="44"/>
  <c r="AZ62" i="44"/>
  <c r="AY62" i="44"/>
  <c r="AX62" i="44"/>
  <c r="AW62" i="44"/>
  <c r="AV62" i="44"/>
  <c r="AU62" i="44"/>
  <c r="AT62" i="44"/>
  <c r="AS62" i="44"/>
  <c r="AR62" i="44"/>
  <c r="AQ62" i="44"/>
  <c r="AP62" i="44"/>
  <c r="AO62" i="44"/>
  <c r="AN62" i="44"/>
  <c r="AM62" i="44"/>
  <c r="AL62" i="44"/>
  <c r="AK62" i="44"/>
  <c r="AJ62" i="44"/>
  <c r="AI62" i="44"/>
  <c r="AH62" i="44"/>
  <c r="AG62" i="44"/>
  <c r="AF62" i="44"/>
  <c r="AE62" i="44"/>
  <c r="AD62" i="44"/>
  <c r="AC62" i="44"/>
  <c r="AB62" i="44"/>
  <c r="AA62" i="44"/>
  <c r="Z62" i="44"/>
  <c r="Y62" i="44"/>
  <c r="X62" i="44"/>
  <c r="W62" i="44"/>
  <c r="V62" i="44"/>
  <c r="U62" i="44"/>
  <c r="T62" i="44"/>
  <c r="S62" i="44"/>
  <c r="R62" i="44"/>
  <c r="Q62" i="44"/>
  <c r="P62" i="44"/>
  <c r="O62" i="44"/>
  <c r="N62" i="44"/>
  <c r="M62" i="44"/>
  <c r="L62" i="44"/>
  <c r="K62" i="44"/>
  <c r="J62" i="44"/>
  <c r="I62" i="44"/>
  <c r="BB61" i="44"/>
  <c r="BA61" i="44"/>
  <c r="AZ61" i="44"/>
  <c r="AY61" i="44"/>
  <c r="AX61" i="44"/>
  <c r="AW61" i="44"/>
  <c r="AV61" i="44"/>
  <c r="AU61" i="44"/>
  <c r="AT61" i="44"/>
  <c r="AS61" i="44"/>
  <c r="AR61" i="44"/>
  <c r="AQ61" i="44"/>
  <c r="AP61" i="44"/>
  <c r="AO61" i="44"/>
  <c r="AN61" i="44"/>
  <c r="AM61" i="44"/>
  <c r="AL61" i="44"/>
  <c r="AK61" i="44"/>
  <c r="AJ61" i="44"/>
  <c r="AI61" i="44"/>
  <c r="AH61" i="44"/>
  <c r="AG61" i="44"/>
  <c r="AF61" i="44"/>
  <c r="AE61" i="44"/>
  <c r="AD61" i="44"/>
  <c r="AC61" i="44"/>
  <c r="AB61" i="44"/>
  <c r="AA61" i="44"/>
  <c r="Z61" i="44"/>
  <c r="Y61" i="44"/>
  <c r="X61" i="44"/>
  <c r="W61" i="44"/>
  <c r="V61" i="44"/>
  <c r="U61" i="44"/>
  <c r="T61" i="44"/>
  <c r="S61" i="44"/>
  <c r="R61" i="44"/>
  <c r="Q61" i="44"/>
  <c r="P61" i="44"/>
  <c r="O61" i="44"/>
  <c r="N61" i="44"/>
  <c r="M61" i="44"/>
  <c r="L61" i="44"/>
  <c r="K61" i="44"/>
  <c r="J61" i="44"/>
  <c r="I61" i="44"/>
  <c r="E61" i="70" l="1"/>
  <c r="D64" i="70"/>
  <c r="C64" i="70"/>
  <c r="D63" i="70"/>
  <c r="C63" i="70"/>
  <c r="E62" i="70"/>
  <c r="D62" i="70"/>
  <c r="C62" i="70"/>
  <c r="D61" i="70"/>
  <c r="C61" i="70"/>
  <c r="D57" i="70"/>
  <c r="D56" i="70"/>
  <c r="D55" i="70"/>
  <c r="D54" i="70"/>
  <c r="D53" i="70"/>
  <c r="D52" i="70"/>
  <c r="D51" i="70"/>
  <c r="D50" i="70"/>
  <c r="D49" i="70"/>
  <c r="D48" i="70"/>
  <c r="D47" i="70"/>
  <c r="D46" i="70"/>
  <c r="D45" i="70"/>
  <c r="D44" i="70"/>
  <c r="D43" i="70"/>
  <c r="D42" i="70"/>
  <c r="D41" i="70"/>
  <c r="D40" i="70"/>
  <c r="D39" i="70"/>
  <c r="D38" i="70"/>
  <c r="D37" i="70"/>
  <c r="G8" i="61"/>
  <c r="G7" i="61"/>
  <c r="B6" i="77"/>
  <c r="C57" i="70" l="1"/>
  <c r="J17" i="70" l="1"/>
  <c r="G63" i="32"/>
  <c r="G161" i="44"/>
  <c r="E114" i="70" s="1"/>
  <c r="G144" i="44"/>
  <c r="G143" i="44"/>
  <c r="G131" i="44"/>
  <c r="D113" i="70"/>
  <c r="C113" i="70"/>
  <c r="D112" i="70"/>
  <c r="C112" i="70"/>
  <c r="D114" i="70"/>
  <c r="C114" i="70"/>
  <c r="C173" i="70"/>
  <c r="C172" i="70"/>
  <c r="C171" i="70"/>
  <c r="C170" i="70"/>
  <c r="C169" i="70"/>
  <c r="C168" i="70"/>
  <c r="C167" i="70"/>
  <c r="C166" i="70"/>
  <c r="C165" i="70"/>
  <c r="D32" i="70"/>
  <c r="E124" i="70"/>
  <c r="D124" i="70"/>
  <c r="C124" i="70"/>
  <c r="E123" i="70"/>
  <c r="D123" i="70"/>
  <c r="C123" i="70"/>
  <c r="F122" i="70"/>
  <c r="E122" i="70"/>
  <c r="D122" i="70"/>
  <c r="C122" i="70"/>
  <c r="G163" i="44" l="1"/>
  <c r="E113" i="70" s="1"/>
  <c r="G162" i="44"/>
  <c r="E112" i="70" s="1"/>
  <c r="F158" i="70"/>
  <c r="E158" i="70"/>
  <c r="D158" i="70"/>
  <c r="C158" i="70"/>
  <c r="F157" i="70"/>
  <c r="E157" i="70"/>
  <c r="D157" i="70"/>
  <c r="C157" i="70"/>
  <c r="F156" i="70"/>
  <c r="E156" i="70"/>
  <c r="D156" i="70"/>
  <c r="C156" i="70"/>
  <c r="F155" i="70"/>
  <c r="E155" i="70"/>
  <c r="D155" i="70"/>
  <c r="F154" i="70"/>
  <c r="E154" i="70"/>
  <c r="D154" i="70"/>
  <c r="C154" i="70"/>
  <c r="F136" i="70"/>
  <c r="E136" i="70"/>
  <c r="D136" i="70"/>
  <c r="C136" i="70"/>
  <c r="F96" i="70"/>
  <c r="E96" i="70"/>
  <c r="D96" i="70"/>
  <c r="C96" i="70"/>
  <c r="F95" i="70"/>
  <c r="E95" i="70"/>
  <c r="D95" i="70"/>
  <c r="C95" i="70"/>
  <c r="F94" i="70"/>
  <c r="E94" i="70"/>
  <c r="D94" i="70"/>
  <c r="C94" i="70"/>
  <c r="F93" i="70"/>
  <c r="E93" i="70"/>
  <c r="D93" i="70"/>
  <c r="C93" i="70"/>
  <c r="E92" i="70"/>
  <c r="D92" i="70"/>
  <c r="C92" i="70"/>
  <c r="E91" i="70"/>
  <c r="D91" i="70"/>
  <c r="C91" i="70"/>
  <c r="F90" i="70"/>
  <c r="E90" i="70"/>
  <c r="D90" i="70"/>
  <c r="C90" i="70"/>
  <c r="F89" i="70"/>
  <c r="E89" i="70"/>
  <c r="D89" i="70"/>
  <c r="C89" i="70"/>
  <c r="F84" i="70"/>
  <c r="F83" i="70"/>
  <c r="F75" i="70"/>
  <c r="E85" i="70"/>
  <c r="D85" i="70"/>
  <c r="C85" i="70"/>
  <c r="E84" i="70"/>
  <c r="D84" i="70"/>
  <c r="C84" i="70"/>
  <c r="E83" i="70"/>
  <c r="D83" i="70"/>
  <c r="C83" i="70"/>
  <c r="E78" i="70"/>
  <c r="D78" i="70"/>
  <c r="C78" i="70"/>
  <c r="E77" i="70"/>
  <c r="D77" i="70"/>
  <c r="C77" i="70"/>
  <c r="E76" i="70"/>
  <c r="D76" i="70"/>
  <c r="C76" i="70"/>
  <c r="E75" i="70"/>
  <c r="D75" i="70"/>
  <c r="C75" i="70"/>
  <c r="G31" i="61"/>
  <c r="G47" i="73" l="1"/>
  <c r="J19" i="73" s="1"/>
  <c r="G35" i="73"/>
  <c r="G13" i="32"/>
  <c r="F11" i="44" s="1"/>
  <c r="G179" i="44"/>
  <c r="G178" i="44"/>
  <c r="G177" i="44"/>
  <c r="G176" i="44"/>
  <c r="G175" i="44"/>
  <c r="G174" i="44"/>
  <c r="G173" i="44"/>
  <c r="H28" i="77"/>
  <c r="H29" i="77" s="1"/>
  <c r="H30" i="77" s="1"/>
  <c r="H31" i="77" s="1"/>
  <c r="H32" i="77" s="1"/>
  <c r="H33" i="77" s="1"/>
  <c r="H34" i="77" s="1"/>
  <c r="H35" i="77" s="1"/>
  <c r="G28" i="77"/>
  <c r="G29" i="77" s="1"/>
  <c r="G30" i="77" s="1"/>
  <c r="G31" i="77" s="1"/>
  <c r="G32" i="77" s="1"/>
  <c r="G33" i="77" s="1"/>
  <c r="G34" i="77" s="1"/>
  <c r="G35" i="77" s="1"/>
  <c r="F28" i="77"/>
  <c r="F29" i="77" s="1"/>
  <c r="F30" i="77" s="1"/>
  <c r="F31" i="77" s="1"/>
  <c r="F32" i="77" s="1"/>
  <c r="F33" i="77" s="1"/>
  <c r="F34" i="77" s="1"/>
  <c r="F35" i="77" s="1"/>
  <c r="E28" i="77"/>
  <c r="E29" i="77" s="1"/>
  <c r="E30" i="77" s="1"/>
  <c r="E31" i="77" s="1"/>
  <c r="E32" i="77" s="1"/>
  <c r="E33" i="77" s="1"/>
  <c r="E34" i="77" s="1"/>
  <c r="E35" i="77" s="1"/>
  <c r="H27" i="77"/>
  <c r="G27" i="77"/>
  <c r="F27" i="77"/>
  <c r="E27" i="77"/>
  <c r="D27" i="77"/>
  <c r="D28" i="77" s="1"/>
  <c r="D29" i="77" s="1"/>
  <c r="D30" i="77" s="1"/>
  <c r="D31" i="77" s="1"/>
  <c r="D32" i="77" s="1"/>
  <c r="D33" i="77" s="1"/>
  <c r="D34" i="77" s="1"/>
  <c r="D35" i="77" s="1"/>
  <c r="C27" i="77"/>
  <c r="C28" i="77" s="1"/>
  <c r="C29" i="77" s="1"/>
  <c r="C30" i="77" s="1"/>
  <c r="C31" i="77" s="1"/>
  <c r="C32" i="77" s="1"/>
  <c r="C33" i="77" s="1"/>
  <c r="C34" i="77" s="1"/>
  <c r="C35" i="77" s="1"/>
  <c r="B28" i="77"/>
  <c r="B29" i="77" s="1"/>
  <c r="B30" i="77" s="1"/>
  <c r="B31" i="77" s="1"/>
  <c r="B32" i="77" s="1"/>
  <c r="B33" i="77" s="1"/>
  <c r="B34" i="77" s="1"/>
  <c r="B35" i="77" s="1"/>
  <c r="B27" i="77"/>
  <c r="G147" i="44"/>
  <c r="F147" i="44"/>
  <c r="G134" i="44"/>
  <c r="F134" i="44"/>
  <c r="C18" i="70" l="1"/>
  <c r="C6" i="77"/>
  <c r="C19" i="70" l="1"/>
  <c r="B5" i="77"/>
  <c r="B11" i="77" s="1"/>
  <c r="A37" i="77"/>
  <c r="A38" i="77" s="1"/>
  <c r="A39" i="77" s="1"/>
  <c r="A40" i="77" s="1"/>
  <c r="A41" i="77" s="1"/>
  <c r="A42" i="77" s="1"/>
  <c r="A43" i="77" s="1"/>
  <c r="A44" i="77" s="1"/>
  <c r="A45" i="77" s="1"/>
  <c r="A46" i="77" s="1"/>
  <c r="A47" i="77" s="1"/>
  <c r="A48" i="77" s="1"/>
  <c r="A49" i="77" s="1"/>
  <c r="A50" i="77" s="1"/>
  <c r="A51" i="77" s="1"/>
  <c r="A27" i="77"/>
  <c r="A28" i="77" s="1"/>
  <c r="A29" i="77" s="1"/>
  <c r="A30" i="77" s="1"/>
  <c r="A31" i="77" s="1"/>
  <c r="A32" i="77" s="1"/>
  <c r="A33" i="77" s="1"/>
  <c r="A34" i="77" s="1"/>
  <c r="A35" i="77" s="1"/>
  <c r="B26" i="77"/>
  <c r="A17" i="77"/>
  <c r="A18" i="77" s="1"/>
  <c r="A19" i="77" s="1"/>
  <c r="A20" i="77" s="1"/>
  <c r="A21" i="77" s="1"/>
  <c r="A22" i="77" s="1"/>
  <c r="A23" i="77" s="1"/>
  <c r="A24" i="77" s="1"/>
  <c r="A25" i="77" s="1"/>
  <c r="F16" i="77"/>
  <c r="C16" i="77"/>
  <c r="A12" i="77"/>
  <c r="A13" i="77" s="1"/>
  <c r="A14" i="77" s="1"/>
  <c r="A15" i="77" s="1"/>
  <c r="A7" i="77"/>
  <c r="A8" i="77" s="1"/>
  <c r="A9" i="77" s="1"/>
  <c r="A10" i="77" s="1"/>
  <c r="F6" i="77"/>
  <c r="H5" i="77"/>
  <c r="G5" i="77"/>
  <c r="G26" i="77" s="1"/>
  <c r="F5" i="77"/>
  <c r="F26" i="77" s="1"/>
  <c r="E5" i="77"/>
  <c r="D5" i="77"/>
  <c r="D36" i="77" s="1"/>
  <c r="C5" i="77"/>
  <c r="C11" i="77" s="1"/>
  <c r="C7" i="77" s="1"/>
  <c r="C8" i="77" s="1"/>
  <c r="C9" i="77" s="1"/>
  <c r="C10" i="77" s="1"/>
  <c r="A3" i="77"/>
  <c r="G35" i="44"/>
  <c r="G36" i="44"/>
  <c r="G53" i="44"/>
  <c r="G73" i="44"/>
  <c r="F14" i="44"/>
  <c r="G33" i="44"/>
  <c r="G52" i="44"/>
  <c r="G125" i="44"/>
  <c r="G124" i="44"/>
  <c r="G32" i="44"/>
  <c r="G31" i="44"/>
  <c r="G30" i="44"/>
  <c r="C20" i="70" l="1"/>
  <c r="F17" i="77"/>
  <c r="F18" i="77" s="1"/>
  <c r="F19" i="77" s="1"/>
  <c r="F20" i="77" s="1"/>
  <c r="F21" i="77" s="1"/>
  <c r="F22" i="77" s="1"/>
  <c r="F23" i="77" s="1"/>
  <c r="F24" i="77" s="1"/>
  <c r="F25" i="77" s="1"/>
  <c r="D26" i="77"/>
  <c r="B7" i="77"/>
  <c r="B8" i="77" s="1"/>
  <c r="B9" i="77" s="1"/>
  <c r="B10" i="77" s="1"/>
  <c r="B36" i="77"/>
  <c r="B37" i="77" s="1"/>
  <c r="B38" i="77" s="1"/>
  <c r="C12" i="77"/>
  <c r="C13" i="77" s="1"/>
  <c r="C14" i="77" s="1"/>
  <c r="C15" i="77" s="1"/>
  <c r="D6" i="77"/>
  <c r="B16" i="77"/>
  <c r="B17" i="77" s="1"/>
  <c r="B18" i="77" s="1"/>
  <c r="B19" i="77" s="1"/>
  <c r="B20" i="77" s="1"/>
  <c r="B21" i="77" s="1"/>
  <c r="B22" i="77" s="1"/>
  <c r="B23" i="77" s="1"/>
  <c r="B24" i="77" s="1"/>
  <c r="B25" i="77" s="1"/>
  <c r="D37" i="77"/>
  <c r="E36" i="77"/>
  <c r="E26" i="77"/>
  <c r="E16" i="77"/>
  <c r="E6" i="77"/>
  <c r="E11" i="77"/>
  <c r="F7" i="77"/>
  <c r="F8" i="77" s="1"/>
  <c r="F9" i="77" s="1"/>
  <c r="F10" i="77" s="1"/>
  <c r="H16" i="77"/>
  <c r="H6" i="77"/>
  <c r="H11" i="77"/>
  <c r="H36" i="77"/>
  <c r="H26" i="77"/>
  <c r="D11" i="77"/>
  <c r="F36" i="77"/>
  <c r="G36" i="77"/>
  <c r="F11" i="77"/>
  <c r="F12" i="77" s="1"/>
  <c r="F13" i="77" s="1"/>
  <c r="F14" i="77" s="1"/>
  <c r="F15" i="77" s="1"/>
  <c r="G11" i="77"/>
  <c r="D16" i="77"/>
  <c r="D17" i="77" s="1"/>
  <c r="D18" i="77" s="1"/>
  <c r="D19" i="77" s="1"/>
  <c r="D20" i="77" s="1"/>
  <c r="D21" i="77" s="1"/>
  <c r="D22" i="77" s="1"/>
  <c r="D23" i="77" s="1"/>
  <c r="D24" i="77" s="1"/>
  <c r="D25" i="77" s="1"/>
  <c r="C26" i="77"/>
  <c r="C17" i="77" s="1"/>
  <c r="C18" i="77" s="1"/>
  <c r="C19" i="77" s="1"/>
  <c r="C20" i="77" s="1"/>
  <c r="C21" i="77" s="1"/>
  <c r="C22" i="77" s="1"/>
  <c r="C23" i="77" s="1"/>
  <c r="C24" i="77" s="1"/>
  <c r="C25" i="77" s="1"/>
  <c r="G6" i="77"/>
  <c r="G16" i="77"/>
  <c r="G17" i="77" s="1"/>
  <c r="G18" i="77" s="1"/>
  <c r="G19" i="77" s="1"/>
  <c r="G20" i="77" s="1"/>
  <c r="G21" i="77" s="1"/>
  <c r="G22" i="77" s="1"/>
  <c r="G23" i="77" s="1"/>
  <c r="G24" i="77" s="1"/>
  <c r="G25" i="77" s="1"/>
  <c r="C36" i="77"/>
  <c r="G29" i="44"/>
  <c r="G34" i="44"/>
  <c r="H18" i="73"/>
  <c r="G23" i="73"/>
  <c r="Q23" i="73"/>
  <c r="P23" i="73"/>
  <c r="O23" i="73"/>
  <c r="N23" i="73"/>
  <c r="M23" i="73"/>
  <c r="L23" i="73"/>
  <c r="K23" i="73"/>
  <c r="R22" i="73"/>
  <c r="R21" i="73"/>
  <c r="R20" i="73"/>
  <c r="J17" i="73"/>
  <c r="K17" i="73" s="1"/>
  <c r="L17" i="73" s="1"/>
  <c r="M17" i="73" s="1"/>
  <c r="N17" i="73" s="1"/>
  <c r="O17" i="73" s="1"/>
  <c r="P17" i="73" s="1"/>
  <c r="F14" i="73"/>
  <c r="J5" i="73"/>
  <c r="K5" i="73" s="1"/>
  <c r="K6" i="73" l="1"/>
  <c r="C21" i="70"/>
  <c r="H12" i="77"/>
  <c r="H13" i="77" s="1"/>
  <c r="H14" i="77" s="1"/>
  <c r="H15" i="77" s="1"/>
  <c r="D7" i="77"/>
  <c r="D8" i="77" s="1"/>
  <c r="D9" i="77" s="1"/>
  <c r="D10" i="77" s="1"/>
  <c r="E12" i="77"/>
  <c r="E13" i="77" s="1"/>
  <c r="E14" i="77" s="1"/>
  <c r="E15" i="77" s="1"/>
  <c r="G7" i="77"/>
  <c r="G8" i="77" s="1"/>
  <c r="G9" i="77" s="1"/>
  <c r="G10" i="77" s="1"/>
  <c r="B12" i="77"/>
  <c r="B13" i="77" s="1"/>
  <c r="B14" i="77" s="1"/>
  <c r="B15" i="77" s="1"/>
  <c r="I6" i="73"/>
  <c r="D19" i="70" s="1"/>
  <c r="Q6" i="73"/>
  <c r="H10" i="73"/>
  <c r="H18" i="70" s="1"/>
  <c r="B39" i="77"/>
  <c r="F37" i="77"/>
  <c r="E7" i="77"/>
  <c r="E8" i="77" s="1"/>
  <c r="E9" i="77" s="1"/>
  <c r="E10" i="77" s="1"/>
  <c r="C37" i="77"/>
  <c r="G12" i="77"/>
  <c r="G13" i="77" s="1"/>
  <c r="G14" i="77" s="1"/>
  <c r="G15" i="77" s="1"/>
  <c r="D12" i="77"/>
  <c r="D13" i="77" s="1"/>
  <c r="D14" i="77" s="1"/>
  <c r="D15" i="77" s="1"/>
  <c r="E17" i="77"/>
  <c r="E18" i="77" s="1"/>
  <c r="E19" i="77" s="1"/>
  <c r="E20" i="77" s="1"/>
  <c r="E21" i="77" s="1"/>
  <c r="E22" i="77" s="1"/>
  <c r="E23" i="77" s="1"/>
  <c r="E24" i="77" s="1"/>
  <c r="E25" i="77" s="1"/>
  <c r="H37" i="77"/>
  <c r="G37" i="77"/>
  <c r="H7" i="77"/>
  <c r="H8" i="77" s="1"/>
  <c r="H9" i="77" s="1"/>
  <c r="H10" i="77" s="1"/>
  <c r="E37" i="77"/>
  <c r="D38" i="77"/>
  <c r="H17" i="77"/>
  <c r="H18" i="77" s="1"/>
  <c r="H19" i="77" s="1"/>
  <c r="H20" i="77" s="1"/>
  <c r="H21" i="77" s="1"/>
  <c r="H22" i="77" s="1"/>
  <c r="H23" i="77" s="1"/>
  <c r="H24" i="77" s="1"/>
  <c r="H25" i="77" s="1"/>
  <c r="J6" i="73"/>
  <c r="D20" i="70" s="1"/>
  <c r="G7" i="73"/>
  <c r="E17" i="70" s="1"/>
  <c r="G9" i="73"/>
  <c r="G17" i="70" s="1"/>
  <c r="I10" i="73"/>
  <c r="H19" i="70" s="1"/>
  <c r="Q10" i="73"/>
  <c r="J10" i="73"/>
  <c r="H20" i="70" s="1"/>
  <c r="H7" i="73"/>
  <c r="E18" i="70" s="1"/>
  <c r="Q7" i="73"/>
  <c r="H9" i="73"/>
  <c r="G18" i="70" s="1"/>
  <c r="I7" i="73"/>
  <c r="E19" i="70" s="1"/>
  <c r="G8" i="73"/>
  <c r="F17" i="70" s="1"/>
  <c r="I9" i="73"/>
  <c r="G19" i="70" s="1"/>
  <c r="Q9" i="73"/>
  <c r="K10" i="73"/>
  <c r="K7" i="73"/>
  <c r="H8" i="73"/>
  <c r="F18" i="70" s="1"/>
  <c r="J9" i="73"/>
  <c r="G20" i="70" s="1"/>
  <c r="K9" i="73"/>
  <c r="I8" i="73"/>
  <c r="F19" i="70" s="1"/>
  <c r="Q8" i="73"/>
  <c r="H23" i="73"/>
  <c r="J8" i="73"/>
  <c r="F20" i="70" s="1"/>
  <c r="J7" i="73"/>
  <c r="E20" i="70" s="1"/>
  <c r="G6" i="73"/>
  <c r="D17" i="70" s="1"/>
  <c r="K8" i="73"/>
  <c r="G10" i="73"/>
  <c r="H17" i="70" s="1"/>
  <c r="R19" i="73"/>
  <c r="J23" i="73"/>
  <c r="I23" i="73"/>
  <c r="R18" i="73"/>
  <c r="L5" i="73"/>
  <c r="H20" i="44"/>
  <c r="G123" i="44"/>
  <c r="G115" i="44"/>
  <c r="AR117" i="44" s="1"/>
  <c r="G6" i="61"/>
  <c r="G5" i="61"/>
  <c r="G8" i="66"/>
  <c r="E63" i="70" s="1"/>
  <c r="D18" i="70" l="1"/>
  <c r="G104" i="44"/>
  <c r="H21" i="70"/>
  <c r="G21" i="70"/>
  <c r="F21" i="70"/>
  <c r="E21" i="70"/>
  <c r="D21" i="70"/>
  <c r="C22" i="70"/>
  <c r="I11" i="73"/>
  <c r="I19" i="70" s="1"/>
  <c r="H11" i="73"/>
  <c r="I18" i="70" s="1"/>
  <c r="E38" i="77"/>
  <c r="D39" i="77"/>
  <c r="F38" i="77"/>
  <c r="G38" i="77"/>
  <c r="B40" i="77"/>
  <c r="C38" i="77"/>
  <c r="H38" i="77"/>
  <c r="G11" i="73"/>
  <c r="I17" i="70" s="1"/>
  <c r="L6" i="73"/>
  <c r="L9" i="73"/>
  <c r="L10" i="73"/>
  <c r="L7" i="73"/>
  <c r="L8" i="73"/>
  <c r="U117" i="44"/>
  <c r="U13" i="45" s="1"/>
  <c r="AB117" i="44"/>
  <c r="AB13" i="45" s="1"/>
  <c r="AU117" i="44"/>
  <c r="AU13" i="45" s="1"/>
  <c r="R117" i="44"/>
  <c r="R13" i="45" s="1"/>
  <c r="AC117" i="44"/>
  <c r="AC13" i="45" s="1"/>
  <c r="AK117" i="44"/>
  <c r="AK13" i="45" s="1"/>
  <c r="I117" i="44"/>
  <c r="I13" i="45" s="1"/>
  <c r="AL117" i="44"/>
  <c r="AL13" i="45" s="1"/>
  <c r="J117" i="44"/>
  <c r="J13" i="45" s="1"/>
  <c r="AM117" i="44"/>
  <c r="AM13" i="45" s="1"/>
  <c r="T117" i="44"/>
  <c r="T13" i="45" s="1"/>
  <c r="AV117" i="44"/>
  <c r="AV13" i="45" s="1"/>
  <c r="Q11" i="73"/>
  <c r="J11" i="73"/>
  <c r="I20" i="70" s="1"/>
  <c r="R23" i="73"/>
  <c r="K11" i="73"/>
  <c r="L38" i="45" s="1"/>
  <c r="M5" i="73"/>
  <c r="V117" i="44"/>
  <c r="V13" i="45" s="1"/>
  <c r="AN117" i="44"/>
  <c r="AN13" i="45" s="1"/>
  <c r="L117" i="44"/>
  <c r="L13" i="45" s="1"/>
  <c r="AD117" i="44"/>
  <c r="AD13" i="45" s="1"/>
  <c r="AW117" i="44"/>
  <c r="AW13" i="45" s="1"/>
  <c r="M117" i="44"/>
  <c r="M13" i="45" s="1"/>
  <c r="AE117" i="44"/>
  <c r="AE13" i="45" s="1"/>
  <c r="AX117" i="44"/>
  <c r="AX13" i="45" s="1"/>
  <c r="AR13" i="45"/>
  <c r="N117" i="44"/>
  <c r="W117" i="44"/>
  <c r="AF117" i="44"/>
  <c r="AO117" i="44"/>
  <c r="AZ117" i="44"/>
  <c r="X117" i="44"/>
  <c r="AG117" i="44"/>
  <c r="AP117" i="44"/>
  <c r="BB117" i="44"/>
  <c r="Y117" i="44"/>
  <c r="AH117" i="44"/>
  <c r="BA117" i="44"/>
  <c r="AS117" i="44"/>
  <c r="AY117" i="44"/>
  <c r="AQ117" i="44"/>
  <c r="AI117" i="44"/>
  <c r="AA117" i="44"/>
  <c r="S117" i="44"/>
  <c r="K117" i="44"/>
  <c r="Q117" i="44"/>
  <c r="Z117" i="44"/>
  <c r="AJ117" i="44"/>
  <c r="AT117" i="44"/>
  <c r="F13" i="44"/>
  <c r="F9" i="44"/>
  <c r="I21" i="70" l="1"/>
  <c r="G114" i="44"/>
  <c r="O117" i="44" s="1"/>
  <c r="O13" i="45" s="1"/>
  <c r="E64" i="70"/>
  <c r="H22" i="70"/>
  <c r="G22" i="70"/>
  <c r="F22" i="70"/>
  <c r="E22" i="70"/>
  <c r="D22" i="70"/>
  <c r="K38" i="45"/>
  <c r="I38" i="45"/>
  <c r="J38" i="45"/>
  <c r="C23" i="70"/>
  <c r="C39" i="77"/>
  <c r="F39" i="77"/>
  <c r="B41" i="77"/>
  <c r="D40" i="77"/>
  <c r="H39" i="77"/>
  <c r="G39" i="77"/>
  <c r="E39" i="77"/>
  <c r="M9" i="73"/>
  <c r="M7" i="73"/>
  <c r="M6" i="73"/>
  <c r="M10" i="73"/>
  <c r="M8" i="73"/>
  <c r="L11" i="73"/>
  <c r="M38" i="45" s="1"/>
  <c r="N5" i="73"/>
  <c r="AJ13" i="45"/>
  <c r="AY13" i="45"/>
  <c r="AH13" i="45"/>
  <c r="AG13" i="45"/>
  <c r="W13" i="45"/>
  <c r="AF13" i="45"/>
  <c r="X13" i="45"/>
  <c r="N13" i="45"/>
  <c r="Z13" i="45"/>
  <c r="BA13" i="45"/>
  <c r="K13" i="45"/>
  <c r="AP13" i="45"/>
  <c r="AS13" i="45"/>
  <c r="S13" i="45"/>
  <c r="AQ13" i="45"/>
  <c r="Y13" i="45"/>
  <c r="Q13" i="45"/>
  <c r="AA13" i="45"/>
  <c r="AZ13" i="45"/>
  <c r="AT13" i="45"/>
  <c r="AI13" i="45"/>
  <c r="BB13" i="45"/>
  <c r="AO13" i="45"/>
  <c r="F23" i="61"/>
  <c r="F15" i="61"/>
  <c r="F17" i="61"/>
  <c r="F30" i="61"/>
  <c r="F22" i="61"/>
  <c r="F14" i="61"/>
  <c r="F25" i="61"/>
  <c r="F29" i="61"/>
  <c r="F21" i="61"/>
  <c r="F13" i="61"/>
  <c r="F28" i="61"/>
  <c r="F20" i="61"/>
  <c r="F12" i="61"/>
  <c r="F24" i="61"/>
  <c r="F27" i="61"/>
  <c r="F19" i="61"/>
  <c r="F11" i="61"/>
  <c r="F26" i="61"/>
  <c r="F18" i="61"/>
  <c r="F16" i="61"/>
  <c r="I22" i="70" l="1"/>
  <c r="H19" i="61"/>
  <c r="F45" i="70" s="1"/>
  <c r="E45" i="70"/>
  <c r="H29" i="61"/>
  <c r="F55" i="70" s="1"/>
  <c r="E55" i="70"/>
  <c r="H11" i="61"/>
  <c r="F37" i="70" s="1"/>
  <c r="E37" i="70"/>
  <c r="H21" i="61"/>
  <c r="F47" i="70" s="1"/>
  <c r="E47" i="70"/>
  <c r="H25" i="61"/>
  <c r="F51" i="70" s="1"/>
  <c r="E51" i="70"/>
  <c r="H17" i="61"/>
  <c r="F43" i="70" s="1"/>
  <c r="E43" i="70"/>
  <c r="H13" i="61"/>
  <c r="F39" i="70" s="1"/>
  <c r="E39" i="70"/>
  <c r="H15" i="61"/>
  <c r="F41" i="70" s="1"/>
  <c r="E41" i="70"/>
  <c r="H27" i="61"/>
  <c r="F53" i="70" s="1"/>
  <c r="E53" i="70"/>
  <c r="H24" i="61"/>
  <c r="F50" i="70" s="1"/>
  <c r="E50" i="70"/>
  <c r="H14" i="61"/>
  <c r="F40" i="70" s="1"/>
  <c r="E40" i="70"/>
  <c r="H22" i="61"/>
  <c r="F48" i="70" s="1"/>
  <c r="E48" i="70"/>
  <c r="P117" i="44"/>
  <c r="H18" i="61"/>
  <c r="F44" i="70" s="1"/>
  <c r="E44" i="70"/>
  <c r="H28" i="61"/>
  <c r="F54" i="70" s="1"/>
  <c r="E54" i="70"/>
  <c r="H26" i="61"/>
  <c r="F52" i="70" s="1"/>
  <c r="E52" i="70"/>
  <c r="H23" i="61"/>
  <c r="F49" i="70" s="1"/>
  <c r="E49" i="70"/>
  <c r="H12" i="61"/>
  <c r="F38" i="70" s="1"/>
  <c r="E38" i="70"/>
  <c r="H16" i="61"/>
  <c r="F42" i="70" s="1"/>
  <c r="E42" i="70"/>
  <c r="H20" i="61"/>
  <c r="F46" i="70" s="1"/>
  <c r="E46" i="70"/>
  <c r="H30" i="61"/>
  <c r="F56" i="70" s="1"/>
  <c r="E56" i="70"/>
  <c r="G23" i="70"/>
  <c r="F23" i="70"/>
  <c r="E23" i="70"/>
  <c r="D23" i="70"/>
  <c r="H23" i="70"/>
  <c r="C24" i="70"/>
  <c r="C40" i="77"/>
  <c r="H40" i="77"/>
  <c r="B42" i="77"/>
  <c r="D41" i="77"/>
  <c r="E40" i="77"/>
  <c r="G40" i="77"/>
  <c r="F40" i="77"/>
  <c r="N6" i="73"/>
  <c r="N9" i="73"/>
  <c r="N8" i="73"/>
  <c r="N10" i="73"/>
  <c r="N7" i="73"/>
  <c r="O5" i="73"/>
  <c r="M11" i="73"/>
  <c r="N38" i="45" s="1"/>
  <c r="I23" i="70" l="1"/>
  <c r="H117" i="44"/>
  <c r="P13" i="45"/>
  <c r="H13" i="45" s="1"/>
  <c r="D149" i="70" s="1"/>
  <c r="H24" i="70"/>
  <c r="G24" i="70"/>
  <c r="F24" i="70"/>
  <c r="E24" i="70"/>
  <c r="D24" i="70"/>
  <c r="C25" i="70"/>
  <c r="F41" i="77"/>
  <c r="D42" i="77"/>
  <c r="G41" i="77"/>
  <c r="E41" i="77"/>
  <c r="B43" i="77"/>
  <c r="H41" i="77"/>
  <c r="C41" i="77"/>
  <c r="O7" i="73"/>
  <c r="O10" i="73"/>
  <c r="O6" i="73"/>
  <c r="O9" i="73"/>
  <c r="O8" i="73"/>
  <c r="Z38" i="45"/>
  <c r="AI38" i="45"/>
  <c r="N11" i="73"/>
  <c r="O38" i="45" s="1"/>
  <c r="P5" i="73"/>
  <c r="AL38" i="45" s="1"/>
  <c r="G129" i="46"/>
  <c r="H129" i="46"/>
  <c r="I129" i="46"/>
  <c r="J129" i="46"/>
  <c r="K129" i="46"/>
  <c r="H130" i="46"/>
  <c r="I130" i="46"/>
  <c r="J130" i="46"/>
  <c r="K130" i="46"/>
  <c r="H131" i="46"/>
  <c r="I131" i="46"/>
  <c r="J131" i="46"/>
  <c r="K131" i="46"/>
  <c r="H132" i="46"/>
  <c r="I132" i="46"/>
  <c r="J132" i="46"/>
  <c r="K132" i="46"/>
  <c r="H133" i="46"/>
  <c r="I133" i="46"/>
  <c r="J133" i="46"/>
  <c r="K133" i="46"/>
  <c r="H134" i="46"/>
  <c r="I134" i="46"/>
  <c r="J134" i="46"/>
  <c r="K134" i="46"/>
  <c r="G130" i="46"/>
  <c r="G131" i="46"/>
  <c r="G132" i="46"/>
  <c r="G133" i="46"/>
  <c r="G134" i="46"/>
  <c r="G145" i="46"/>
  <c r="K145" i="46"/>
  <c r="J145" i="46"/>
  <c r="I145" i="46"/>
  <c r="H145" i="46"/>
  <c r="L144" i="46"/>
  <c r="M144" i="46" s="1"/>
  <c r="O144" i="46" s="1"/>
  <c r="L143" i="46"/>
  <c r="M143" i="46" s="1"/>
  <c r="O143" i="46" s="1"/>
  <c r="L142" i="46"/>
  <c r="M142" i="46" s="1"/>
  <c r="O142" i="46" s="1"/>
  <c r="L141" i="46"/>
  <c r="M141" i="46" s="1"/>
  <c r="O141" i="46" s="1"/>
  <c r="L140" i="46"/>
  <c r="M140" i="46" s="1"/>
  <c r="O140" i="46" s="1"/>
  <c r="L139" i="46"/>
  <c r="M139" i="46" s="1"/>
  <c r="O139" i="46" s="1"/>
  <c r="I24" i="70" l="1"/>
  <c r="AH38" i="45"/>
  <c r="D167" i="70"/>
  <c r="D20" i="19"/>
  <c r="H25" i="70"/>
  <c r="D25" i="70"/>
  <c r="G25" i="70"/>
  <c r="F25" i="70"/>
  <c r="E25" i="70"/>
  <c r="D43" i="77"/>
  <c r="E42" i="77"/>
  <c r="H42" i="77"/>
  <c r="G42" i="77"/>
  <c r="C42" i="77"/>
  <c r="B44" i="77"/>
  <c r="F42" i="77"/>
  <c r="AY38" i="45"/>
  <c r="AW38" i="45"/>
  <c r="AV38" i="45"/>
  <c r="AG38" i="45"/>
  <c r="U38" i="45"/>
  <c r="AK38" i="45"/>
  <c r="R38" i="45"/>
  <c r="AA38" i="45"/>
  <c r="S38" i="45"/>
  <c r="AR38" i="45"/>
  <c r="AT38" i="45"/>
  <c r="AO38" i="45"/>
  <c r="AJ38" i="45"/>
  <c r="AS38" i="45"/>
  <c r="AC38" i="45"/>
  <c r="P10" i="73"/>
  <c r="R10" i="73" s="1"/>
  <c r="P7" i="73"/>
  <c r="R7" i="73" s="1"/>
  <c r="P9" i="73"/>
  <c r="R9" i="73" s="1"/>
  <c r="P6" i="73"/>
  <c r="P8" i="73"/>
  <c r="R8" i="73" s="1"/>
  <c r="BB38" i="45"/>
  <c r="AN38" i="45"/>
  <c r="AM38" i="45"/>
  <c r="AF38" i="45"/>
  <c r="AU38" i="45"/>
  <c r="V38" i="45"/>
  <c r="AB38" i="45"/>
  <c r="AQ38" i="45"/>
  <c r="AP38" i="45"/>
  <c r="T38" i="45"/>
  <c r="AZ38" i="45"/>
  <c r="X38" i="45"/>
  <c r="AX38" i="45"/>
  <c r="AE38" i="45"/>
  <c r="Y38" i="45"/>
  <c r="W38" i="45"/>
  <c r="BA38" i="45"/>
  <c r="AD38" i="45"/>
  <c r="O11" i="73"/>
  <c r="P38" i="45" s="1"/>
  <c r="L145" i="46"/>
  <c r="M145" i="46" s="1"/>
  <c r="O145" i="46" s="1"/>
  <c r="I25" i="70" l="1"/>
  <c r="H43" i="77"/>
  <c r="G43" i="77"/>
  <c r="E43" i="77"/>
  <c r="D44" i="77"/>
  <c r="B45" i="77"/>
  <c r="B46" i="77" s="1"/>
  <c r="B47" i="77" s="1"/>
  <c r="B48" i="77" s="1"/>
  <c r="B49" i="77" s="1"/>
  <c r="B50" i="77" s="1"/>
  <c r="B51" i="77" s="1"/>
  <c r="C43" i="77"/>
  <c r="F43" i="77"/>
  <c r="P11" i="73"/>
  <c r="Q38" i="45" s="1"/>
  <c r="R6" i="73"/>
  <c r="R11" i="73" s="1"/>
  <c r="H26" i="70" l="1"/>
  <c r="G26" i="70"/>
  <c r="F26" i="70"/>
  <c r="E26" i="70"/>
  <c r="D26" i="70"/>
  <c r="E44" i="77"/>
  <c r="H44" i="77"/>
  <c r="D45" i="77"/>
  <c r="D46" i="77" s="1"/>
  <c r="D47" i="77" s="1"/>
  <c r="D48" i="77" s="1"/>
  <c r="D49" i="77" s="1"/>
  <c r="D50" i="77" s="1"/>
  <c r="D51" i="77" s="1"/>
  <c r="F44" i="77"/>
  <c r="C44" i="77"/>
  <c r="G44" i="77"/>
  <c r="H168" i="46"/>
  <c r="G166" i="46"/>
  <c r="H157" i="46"/>
  <c r="I26" i="70" l="1"/>
  <c r="G45" i="77"/>
  <c r="G46" i="77" s="1"/>
  <c r="G47" i="77" s="1"/>
  <c r="G48" i="77" s="1"/>
  <c r="G49" i="77" s="1"/>
  <c r="G50" i="77" s="1"/>
  <c r="G51" i="77" s="1"/>
  <c r="C45" i="77"/>
  <c r="C46" i="77" s="1"/>
  <c r="C47" i="77" s="1"/>
  <c r="C48" i="77" s="1"/>
  <c r="C49" i="77" s="1"/>
  <c r="C50" i="77" s="1"/>
  <c r="C51" i="77" s="1"/>
  <c r="H45" i="77"/>
  <c r="H46" i="77" s="1"/>
  <c r="H47" i="77" s="1"/>
  <c r="H48" i="77" s="1"/>
  <c r="H49" i="77" s="1"/>
  <c r="H50" i="77" s="1"/>
  <c r="H51" i="77" s="1"/>
  <c r="F45" i="77"/>
  <c r="F46" i="77" s="1"/>
  <c r="F47" i="77" s="1"/>
  <c r="F48" i="77" s="1"/>
  <c r="F49" i="77" s="1"/>
  <c r="F50" i="77" s="1"/>
  <c r="F51" i="77" s="1"/>
  <c r="E45" i="77"/>
  <c r="E46" i="77" s="1"/>
  <c r="E47" i="77" s="1"/>
  <c r="E48" i="77" s="1"/>
  <c r="E49" i="77" s="1"/>
  <c r="E50" i="77" s="1"/>
  <c r="E51" i="77" s="1"/>
  <c r="F193" i="46" l="1"/>
  <c r="G193" i="46" s="1"/>
  <c r="F192" i="46"/>
  <c r="G192" i="46" s="1"/>
  <c r="G189" i="46"/>
  <c r="G165" i="46"/>
  <c r="G154" i="46"/>
  <c r="E11" i="61"/>
  <c r="C37" i="70" s="1"/>
  <c r="E12" i="61" l="1"/>
  <c r="C38" i="70" s="1"/>
  <c r="E13" i="61" l="1"/>
  <c r="C39" i="70" s="1"/>
  <c r="F10" i="44"/>
  <c r="AS3" i="44" l="1"/>
  <c r="AS183" i="44" s="1"/>
  <c r="BB3" i="44"/>
  <c r="BB183" i="44" s="1"/>
  <c r="AU3" i="44"/>
  <c r="AU183" i="44" s="1"/>
  <c r="M3" i="44"/>
  <c r="M183" i="44" s="1"/>
  <c r="N3" i="44"/>
  <c r="N183" i="44" s="1"/>
  <c r="AW3" i="44"/>
  <c r="AW183" i="44" s="1"/>
  <c r="AX3" i="44"/>
  <c r="AX183" i="44" s="1"/>
  <c r="AJ3" i="44"/>
  <c r="AJ183" i="44" s="1"/>
  <c r="L3" i="44"/>
  <c r="L183" i="44" s="1"/>
  <c r="AG3" i="44"/>
  <c r="AG183" i="44" s="1"/>
  <c r="AO3" i="44"/>
  <c r="AO183" i="44" s="1"/>
  <c r="W3" i="44"/>
  <c r="W183" i="44" s="1"/>
  <c r="AV3" i="44"/>
  <c r="AV183" i="44" s="1"/>
  <c r="I3" i="44"/>
  <c r="I67" i="44" s="1"/>
  <c r="J3" i="44"/>
  <c r="J183" i="44" s="1"/>
  <c r="AI3" i="44"/>
  <c r="AI183" i="44" s="1"/>
  <c r="AQ3" i="44"/>
  <c r="AQ183" i="44" s="1"/>
  <c r="AP3" i="44"/>
  <c r="AP183" i="44" s="1"/>
  <c r="R3" i="44"/>
  <c r="R183" i="44" s="1"/>
  <c r="Y3" i="44"/>
  <c r="Y183" i="44" s="1"/>
  <c r="U3" i="44"/>
  <c r="U183" i="44" s="1"/>
  <c r="AZ3" i="44"/>
  <c r="AZ183" i="44" s="1"/>
  <c r="AH3" i="44"/>
  <c r="AH183" i="44" s="1"/>
  <c r="X3" i="44"/>
  <c r="X183" i="44" s="1"/>
  <c r="AN3" i="44"/>
  <c r="AN183" i="44" s="1"/>
  <c r="AA3" i="44"/>
  <c r="AA183" i="44" s="1"/>
  <c r="O3" i="44"/>
  <c r="O183" i="44" s="1"/>
  <c r="BA3" i="44"/>
  <c r="BA183" i="44" s="1"/>
  <c r="Z3" i="44"/>
  <c r="Z183" i="44" s="1"/>
  <c r="Q3" i="44"/>
  <c r="Q183" i="44" s="1"/>
  <c r="AR3" i="44"/>
  <c r="AR183" i="44" s="1"/>
  <c r="AB3" i="44"/>
  <c r="AB183" i="44" s="1"/>
  <c r="AC3" i="44"/>
  <c r="AC183" i="44" s="1"/>
  <c r="K3" i="44"/>
  <c r="K183" i="44" s="1"/>
  <c r="AF3" i="44"/>
  <c r="AF183" i="44" s="1"/>
  <c r="P3" i="44"/>
  <c r="AY3" i="44"/>
  <c r="AY183" i="44" s="1"/>
  <c r="AT3" i="44"/>
  <c r="AT183" i="44" s="1"/>
  <c r="AK3" i="44"/>
  <c r="AK183" i="44" s="1"/>
  <c r="T3" i="44"/>
  <c r="T183" i="44" s="1"/>
  <c r="AL3" i="44"/>
  <c r="AL183" i="44" s="1"/>
  <c r="AM3" i="44"/>
  <c r="AM183" i="44" s="1"/>
  <c r="V3" i="44"/>
  <c r="V183" i="44" s="1"/>
  <c r="AE3" i="44"/>
  <c r="AE183" i="44" s="1"/>
  <c r="S3" i="44"/>
  <c r="S183" i="44" s="1"/>
  <c r="AD3" i="44"/>
  <c r="AD183" i="44" s="1"/>
  <c r="I149" i="44" a="1"/>
  <c r="I149" i="44" s="1"/>
  <c r="I150" i="44" s="1"/>
  <c r="I151" i="44" s="1"/>
  <c r="G105" i="44"/>
  <c r="E14" i="61"/>
  <c r="C40" i="70" s="1"/>
  <c r="I184" i="44" l="1"/>
  <c r="I183" i="44"/>
  <c r="P183" i="44"/>
  <c r="P136" i="44" a="1"/>
  <c r="P136" i="44" s="1"/>
  <c r="T184" i="44"/>
  <c r="AJ184" i="44"/>
  <c r="J184" i="44"/>
  <c r="AD184" i="44"/>
  <c r="S21" i="44"/>
  <c r="S184" i="44"/>
  <c r="AY184" i="44"/>
  <c r="Z184" i="44"/>
  <c r="U184" i="44"/>
  <c r="AV184" i="44"/>
  <c r="N184" i="44"/>
  <c r="AX184" i="44"/>
  <c r="I136" i="44" a="1"/>
  <c r="I136" i="44" s="1"/>
  <c r="P21" i="44"/>
  <c r="P184" i="44"/>
  <c r="BA184" i="44"/>
  <c r="Y184" i="44"/>
  <c r="W184" i="44"/>
  <c r="M184" i="44"/>
  <c r="AI184" i="44"/>
  <c r="AK184" i="44"/>
  <c r="Q21" i="44"/>
  <c r="Q23" i="44" s="1"/>
  <c r="Q184" i="44"/>
  <c r="V184" i="44"/>
  <c r="R21" i="44"/>
  <c r="R23" i="44" s="1"/>
  <c r="R184" i="44"/>
  <c r="AO184" i="44"/>
  <c r="AU184" i="44"/>
  <c r="AB184" i="44"/>
  <c r="AH184" i="44"/>
  <c r="AZ184" i="44"/>
  <c r="AE184" i="44"/>
  <c r="O184" i="44"/>
  <c r="AM184" i="44"/>
  <c r="K184" i="44"/>
  <c r="AA184" i="44"/>
  <c r="AP184" i="44"/>
  <c r="AG184" i="44"/>
  <c r="BB184" i="44"/>
  <c r="X184" i="44"/>
  <c r="AR184" i="44"/>
  <c r="AT184" i="44"/>
  <c r="AW184" i="44"/>
  <c r="AF184" i="44"/>
  <c r="AL184" i="44"/>
  <c r="AC184" i="44"/>
  <c r="AN184" i="44"/>
  <c r="AQ184" i="44"/>
  <c r="L184" i="44"/>
  <c r="L149" i="44" a="1"/>
  <c r="L149" i="44" s="1"/>
  <c r="L150" i="44" s="1"/>
  <c r="L151" i="44" s="1"/>
  <c r="AS184" i="44"/>
  <c r="I69" i="44"/>
  <c r="I39" i="44"/>
  <c r="I70" i="44"/>
  <c r="I68" i="44"/>
  <c r="AT67" i="44"/>
  <c r="AT68" i="44"/>
  <c r="AT69" i="44"/>
  <c r="AT70" i="44"/>
  <c r="AL69" i="44"/>
  <c r="AL70" i="44"/>
  <c r="AL68" i="44"/>
  <c r="AL67" i="44"/>
  <c r="AJ68" i="44"/>
  <c r="AJ69" i="44"/>
  <c r="AJ67" i="44"/>
  <c r="AJ70" i="44"/>
  <c r="AH67" i="44"/>
  <c r="AH68" i="44"/>
  <c r="AH69" i="44"/>
  <c r="AH70" i="44"/>
  <c r="AE67" i="44"/>
  <c r="AE70" i="44"/>
  <c r="AE68" i="44"/>
  <c r="AE69" i="44"/>
  <c r="M69" i="44"/>
  <c r="M68" i="44"/>
  <c r="M70" i="44"/>
  <c r="M67" i="44"/>
  <c r="K68" i="44"/>
  <c r="K67" i="44"/>
  <c r="K69" i="44"/>
  <c r="K70" i="44"/>
  <c r="AN67" i="44"/>
  <c r="AN69" i="44"/>
  <c r="AN70" i="44"/>
  <c r="AN68" i="44"/>
  <c r="AZ69" i="44"/>
  <c r="AZ70" i="44"/>
  <c r="AZ67" i="44"/>
  <c r="AZ68" i="44"/>
  <c r="AX69" i="44"/>
  <c r="AX70" i="44"/>
  <c r="AX68" i="44"/>
  <c r="AX67" i="44"/>
  <c r="AM69" i="44"/>
  <c r="AM70" i="44"/>
  <c r="AM67" i="44"/>
  <c r="AM68" i="44"/>
  <c r="BA69" i="44"/>
  <c r="BA70" i="44"/>
  <c r="BA67" i="44"/>
  <c r="BA68" i="44"/>
  <c r="AY69" i="44"/>
  <c r="AY70" i="44"/>
  <c r="AY67" i="44"/>
  <c r="AY68" i="44"/>
  <c r="AW69" i="44"/>
  <c r="AW68" i="44"/>
  <c r="AW70" i="44"/>
  <c r="AW67" i="44"/>
  <c r="AU68" i="44"/>
  <c r="AU69" i="44"/>
  <c r="AU67" i="44"/>
  <c r="AU70" i="44"/>
  <c r="AR67" i="44"/>
  <c r="AR70" i="44"/>
  <c r="AR68" i="44"/>
  <c r="AR69" i="44"/>
  <c r="AF67" i="44"/>
  <c r="AF68" i="44"/>
  <c r="AF70" i="44"/>
  <c r="AF69" i="44"/>
  <c r="V68" i="44"/>
  <c r="V69" i="44"/>
  <c r="V67" i="44"/>
  <c r="V70" i="44"/>
  <c r="T67" i="44"/>
  <c r="T68" i="44"/>
  <c r="T70" i="44"/>
  <c r="T69" i="44"/>
  <c r="R70" i="44"/>
  <c r="R67" i="44"/>
  <c r="R68" i="44"/>
  <c r="R69" i="44"/>
  <c r="AV68" i="44"/>
  <c r="AV69" i="44"/>
  <c r="AV67" i="44"/>
  <c r="AV70" i="44"/>
  <c r="L68" i="44"/>
  <c r="L67" i="44"/>
  <c r="L69" i="44"/>
  <c r="L70" i="44"/>
  <c r="P67" i="44"/>
  <c r="P70" i="44"/>
  <c r="P69" i="44"/>
  <c r="P68" i="44"/>
  <c r="N69" i="44"/>
  <c r="N70" i="44"/>
  <c r="N67" i="44"/>
  <c r="N68" i="44"/>
  <c r="J68" i="44"/>
  <c r="J69" i="44"/>
  <c r="J70" i="44"/>
  <c r="J67" i="44"/>
  <c r="BB70" i="44"/>
  <c r="BB67" i="44"/>
  <c r="BB68" i="44"/>
  <c r="BB69" i="44"/>
  <c r="AS67" i="44"/>
  <c r="AS68" i="44"/>
  <c r="AS69" i="44"/>
  <c r="AS70" i="44"/>
  <c r="AQ67" i="44"/>
  <c r="AQ68" i="44"/>
  <c r="AQ69" i="44"/>
  <c r="AQ70" i="44"/>
  <c r="AO70" i="44"/>
  <c r="AO67" i="44"/>
  <c r="AO69" i="44"/>
  <c r="AO68" i="44"/>
  <c r="AK69" i="44"/>
  <c r="AK70" i="44"/>
  <c r="AK68" i="44"/>
  <c r="AK67" i="44"/>
  <c r="AI67" i="44"/>
  <c r="AI68" i="44"/>
  <c r="AI69" i="44"/>
  <c r="AI70" i="44"/>
  <c r="AG67" i="44"/>
  <c r="AG68" i="44"/>
  <c r="AG69" i="44"/>
  <c r="AG70" i="44"/>
  <c r="O69" i="44"/>
  <c r="O70" i="44"/>
  <c r="O67" i="44"/>
  <c r="O68" i="44"/>
  <c r="AP70" i="44"/>
  <c r="AP67" i="44"/>
  <c r="AP68" i="44"/>
  <c r="AP69" i="44"/>
  <c r="AD70" i="44"/>
  <c r="AD67" i="44"/>
  <c r="AD68" i="44"/>
  <c r="AD69" i="44"/>
  <c r="AB70" i="44"/>
  <c r="AB67" i="44"/>
  <c r="AB69" i="44"/>
  <c r="AB68" i="44"/>
  <c r="Z69" i="44"/>
  <c r="Z70" i="44"/>
  <c r="Z68" i="44"/>
  <c r="Z67" i="44"/>
  <c r="W68" i="44"/>
  <c r="W69" i="44"/>
  <c r="W67" i="44"/>
  <c r="W70" i="44"/>
  <c r="AC70" i="44"/>
  <c r="AC67" i="44"/>
  <c r="AC69" i="44"/>
  <c r="AC68" i="44"/>
  <c r="AA69" i="44"/>
  <c r="AA70" i="44"/>
  <c r="AA67" i="44"/>
  <c r="AA68" i="44"/>
  <c r="Y69" i="44"/>
  <c r="Y70" i="44"/>
  <c r="Y67" i="44"/>
  <c r="Y68" i="44"/>
  <c r="X68" i="44"/>
  <c r="X67" i="44"/>
  <c r="X69" i="44"/>
  <c r="X70" i="44"/>
  <c r="U67" i="44"/>
  <c r="U68" i="44"/>
  <c r="U69" i="44"/>
  <c r="U70" i="44"/>
  <c r="S68" i="44"/>
  <c r="S67" i="44"/>
  <c r="S70" i="44"/>
  <c r="S69" i="44"/>
  <c r="Q70" i="44"/>
  <c r="Q69" i="44"/>
  <c r="Q67" i="44"/>
  <c r="Q68" i="44"/>
  <c r="O39" i="44"/>
  <c r="AT149" i="44" a="1"/>
  <c r="AT149" i="44" s="1"/>
  <c r="AT150" i="44" s="1"/>
  <c r="AT151" i="44" s="1"/>
  <c r="AT39" i="44"/>
  <c r="AP149" i="44" a="1"/>
  <c r="AP149" i="44" s="1"/>
  <c r="AP150" i="44" s="1"/>
  <c r="AP151" i="44" s="1"/>
  <c r="AP39" i="44"/>
  <c r="AF149" i="44" a="1"/>
  <c r="AF149" i="44" s="1"/>
  <c r="AF150" i="44" s="1"/>
  <c r="AF151" i="44" s="1"/>
  <c r="AF39" i="44"/>
  <c r="AL149" i="44" a="1"/>
  <c r="AL149" i="44" s="1"/>
  <c r="AL150" i="44" s="1"/>
  <c r="AL151" i="44" s="1"/>
  <c r="AL39" i="44"/>
  <c r="AJ149" i="44" a="1"/>
  <c r="AJ149" i="44" s="1"/>
  <c r="AJ150" i="44" s="1"/>
  <c r="AJ151" i="44" s="1"/>
  <c r="AJ39" i="44"/>
  <c r="AH149" i="44" a="1"/>
  <c r="AH149" i="44" s="1"/>
  <c r="AH150" i="44" s="1"/>
  <c r="AH151" i="44" s="1"/>
  <c r="AH39" i="44"/>
  <c r="AE149" i="44" a="1"/>
  <c r="AE149" i="44" s="1"/>
  <c r="AE150" i="44" s="1"/>
  <c r="AE151" i="44" s="1"/>
  <c r="AE39" i="44"/>
  <c r="AZ149" i="44" a="1"/>
  <c r="AZ149" i="44" s="1"/>
  <c r="AZ150" i="44" s="1"/>
  <c r="AZ151" i="44" s="1"/>
  <c r="AZ39" i="44"/>
  <c r="W149" i="44" a="1"/>
  <c r="W149" i="44" s="1"/>
  <c r="W150" i="44" s="1"/>
  <c r="W151" i="44" s="1"/>
  <c r="W39" i="44"/>
  <c r="T149" i="44" a="1"/>
  <c r="T149" i="44" s="1"/>
  <c r="T150" i="44" s="1"/>
  <c r="T151" i="44" s="1"/>
  <c r="T39" i="44"/>
  <c r="R149" i="44" a="1"/>
  <c r="R149" i="44" s="1"/>
  <c r="R150" i="44" s="1"/>
  <c r="R151" i="44" s="1"/>
  <c r="R39" i="44"/>
  <c r="AV149" i="44" a="1"/>
  <c r="AV149" i="44" s="1"/>
  <c r="AV150" i="44" s="1"/>
  <c r="AV151" i="44" s="1"/>
  <c r="AV39" i="44"/>
  <c r="AM149" i="44" a="1"/>
  <c r="AM149" i="44" s="1"/>
  <c r="AM150" i="44" s="1"/>
  <c r="AM151" i="44" s="1"/>
  <c r="AM39" i="44"/>
  <c r="AR149" i="44" a="1"/>
  <c r="AR149" i="44" s="1"/>
  <c r="AR150" i="44" s="1"/>
  <c r="AR151" i="44" s="1"/>
  <c r="AR39" i="44"/>
  <c r="N149" i="44" a="1"/>
  <c r="N149" i="44" s="1"/>
  <c r="N150" i="44" s="1"/>
  <c r="N151" i="44" s="1"/>
  <c r="N39" i="44"/>
  <c r="J149" i="44" a="1"/>
  <c r="J149" i="44" s="1"/>
  <c r="J150" i="44" s="1"/>
  <c r="J151" i="44" s="1"/>
  <c r="J39" i="44"/>
  <c r="BB149" i="44" a="1"/>
  <c r="BB149" i="44" s="1"/>
  <c r="BB150" i="44" s="1"/>
  <c r="BB151" i="44" s="1"/>
  <c r="BB39" i="44"/>
  <c r="V149" i="44" a="1"/>
  <c r="V149" i="44" s="1"/>
  <c r="V150" i="44" s="1"/>
  <c r="V151" i="44" s="1"/>
  <c r="V39" i="44"/>
  <c r="AU149" i="44" a="1"/>
  <c r="AU149" i="44" s="1"/>
  <c r="AU150" i="44" s="1"/>
  <c r="AU151" i="44" s="1"/>
  <c r="AU39" i="44"/>
  <c r="AB149" i="44" a="1"/>
  <c r="AB149" i="44" s="1"/>
  <c r="AB150" i="44" s="1"/>
  <c r="AB151" i="44" s="1"/>
  <c r="AB39" i="44"/>
  <c r="AW149" i="44" a="1"/>
  <c r="AW149" i="44" s="1"/>
  <c r="AW150" i="44" s="1"/>
  <c r="AW151" i="44" s="1"/>
  <c r="AW39" i="44"/>
  <c r="AS149" i="44" a="1"/>
  <c r="AS149" i="44" s="1"/>
  <c r="AS150" i="44" s="1"/>
  <c r="AS151" i="44" s="1"/>
  <c r="AS39" i="44"/>
  <c r="AQ149" i="44" a="1"/>
  <c r="AQ149" i="44" s="1"/>
  <c r="AQ150" i="44" s="1"/>
  <c r="AQ151" i="44" s="1"/>
  <c r="AQ39" i="44"/>
  <c r="AO149" i="44" a="1"/>
  <c r="AO149" i="44" s="1"/>
  <c r="AO150" i="44" s="1"/>
  <c r="AO151" i="44" s="1"/>
  <c r="AO39" i="44"/>
  <c r="P149" i="44" a="1"/>
  <c r="P149" i="44" s="1"/>
  <c r="P150" i="44" s="1"/>
  <c r="P151" i="44" s="1"/>
  <c r="P39" i="44"/>
  <c r="AD149" i="44" a="1"/>
  <c r="AD149" i="44" s="1"/>
  <c r="AD150" i="44" s="1"/>
  <c r="AD151" i="44" s="1"/>
  <c r="AD39" i="44"/>
  <c r="L39" i="44"/>
  <c r="AY149" i="44" a="1"/>
  <c r="AY149" i="44" s="1"/>
  <c r="AY150" i="44" s="1"/>
  <c r="AY151" i="44" s="1"/>
  <c r="AY39" i="44"/>
  <c r="AK149" i="44" a="1"/>
  <c r="AK149" i="44" s="1"/>
  <c r="AK150" i="44" s="1"/>
  <c r="AK151" i="44" s="1"/>
  <c r="AK39" i="44"/>
  <c r="AI149" i="44" a="1"/>
  <c r="AI149" i="44" s="1"/>
  <c r="AI150" i="44" s="1"/>
  <c r="AI151" i="44" s="1"/>
  <c r="AI39" i="44"/>
  <c r="AG149" i="44" a="1"/>
  <c r="AG149" i="44" s="1"/>
  <c r="AG150" i="44" s="1"/>
  <c r="AG151" i="44" s="1"/>
  <c r="AG39" i="44"/>
  <c r="O149" i="44" a="1"/>
  <c r="O149" i="44" s="1"/>
  <c r="O150" i="44" s="1"/>
  <c r="O151" i="44" s="1"/>
  <c r="Z149" i="44" a="1"/>
  <c r="Z149" i="44" s="1"/>
  <c r="Z150" i="44" s="1"/>
  <c r="Z151" i="44" s="1"/>
  <c r="Z39" i="44"/>
  <c r="BA149" i="44" a="1"/>
  <c r="BA149" i="44" s="1"/>
  <c r="BA150" i="44" s="1"/>
  <c r="BA151" i="44" s="1"/>
  <c r="BA39" i="44"/>
  <c r="AC149" i="44" a="1"/>
  <c r="AC149" i="44" s="1"/>
  <c r="AC150" i="44" s="1"/>
  <c r="AC151" i="44" s="1"/>
  <c r="AC39" i="44"/>
  <c r="AA149" i="44" a="1"/>
  <c r="AA149" i="44" s="1"/>
  <c r="AA150" i="44" s="1"/>
  <c r="AA151" i="44" s="1"/>
  <c r="AA39" i="44"/>
  <c r="Y149" i="44" a="1"/>
  <c r="Y149" i="44" s="1"/>
  <c r="Y150" i="44" s="1"/>
  <c r="Y151" i="44" s="1"/>
  <c r="Y39" i="44"/>
  <c r="X149" i="44" a="1"/>
  <c r="X149" i="44" s="1"/>
  <c r="X150" i="44" s="1"/>
  <c r="X151" i="44" s="1"/>
  <c r="X39" i="44"/>
  <c r="AX149" i="44" a="1"/>
  <c r="AX149" i="44" s="1"/>
  <c r="AX150" i="44" s="1"/>
  <c r="AX151" i="44" s="1"/>
  <c r="AX39" i="44"/>
  <c r="U149" i="44" a="1"/>
  <c r="U149" i="44" s="1"/>
  <c r="U150" i="44" s="1"/>
  <c r="U151" i="44" s="1"/>
  <c r="U39" i="44"/>
  <c r="S149" i="44" a="1"/>
  <c r="S149" i="44" s="1"/>
  <c r="S150" i="44" s="1"/>
  <c r="S151" i="44" s="1"/>
  <c r="S39" i="44"/>
  <c r="Q149" i="44" a="1"/>
  <c r="Q149" i="44" s="1"/>
  <c r="Q150" i="44" s="1"/>
  <c r="Q151" i="44" s="1"/>
  <c r="Q39" i="44"/>
  <c r="M149" i="44" a="1"/>
  <c r="M149" i="44" s="1"/>
  <c r="M150" i="44" s="1"/>
  <c r="M151" i="44" s="1"/>
  <c r="M39" i="44"/>
  <c r="K149" i="44" a="1"/>
  <c r="K149" i="44" s="1"/>
  <c r="K150" i="44" s="1"/>
  <c r="K151" i="44" s="1"/>
  <c r="K39" i="44"/>
  <c r="AN149" i="44" a="1"/>
  <c r="AN149" i="44" s="1"/>
  <c r="AN150" i="44" s="1"/>
  <c r="AN151" i="44" s="1"/>
  <c r="AN39" i="44"/>
  <c r="AT136" i="44" a="1"/>
  <c r="AT136" i="44" s="1"/>
  <c r="AT182" i="44" s="1"/>
  <c r="AP136" i="44" a="1"/>
  <c r="AP136" i="44" s="1"/>
  <c r="AP182" i="44" s="1"/>
  <c r="AP188" i="44" s="1"/>
  <c r="AF136" i="44" a="1"/>
  <c r="AF136" i="44" s="1"/>
  <c r="AF182" i="44" s="1"/>
  <c r="AJ136" i="44" a="1"/>
  <c r="AJ136" i="44" s="1"/>
  <c r="AJ182" i="44" s="1"/>
  <c r="AH136" i="44" a="1"/>
  <c r="AH136" i="44" s="1"/>
  <c r="AH182" i="44" s="1"/>
  <c r="AE136" i="44" a="1"/>
  <c r="AE136" i="44" s="1"/>
  <c r="AE182" i="44" s="1"/>
  <c r="AD136" i="44" a="1"/>
  <c r="AD136" i="44" s="1"/>
  <c r="AD182" i="44" s="1"/>
  <c r="AB136" i="44" a="1"/>
  <c r="AB136" i="44" s="1"/>
  <c r="AB182" i="44" s="1"/>
  <c r="Z136" i="44" a="1"/>
  <c r="Z136" i="44" s="1"/>
  <c r="Z182" i="44" s="1"/>
  <c r="W136" i="44" a="1"/>
  <c r="W136" i="44" s="1"/>
  <c r="W182" i="44" s="1"/>
  <c r="V136" i="44" a="1"/>
  <c r="V136" i="44" s="1"/>
  <c r="V182" i="44" s="1"/>
  <c r="T136" i="44" a="1"/>
  <c r="T136" i="44" s="1"/>
  <c r="T182" i="44" s="1"/>
  <c r="R136" i="44" a="1"/>
  <c r="R136" i="44" s="1"/>
  <c r="R182" i="44" s="1"/>
  <c r="AV136" i="44" a="1"/>
  <c r="AV136" i="44" s="1"/>
  <c r="AV182" i="44" s="1"/>
  <c r="N136" i="44" a="1"/>
  <c r="N136" i="44" s="1"/>
  <c r="N182" i="44" s="1"/>
  <c r="L136" i="44" a="1"/>
  <c r="L136" i="44" s="1"/>
  <c r="L182" i="44" s="1"/>
  <c r="J136" i="44" a="1"/>
  <c r="J136" i="44" s="1"/>
  <c r="J182" i="44" s="1"/>
  <c r="BB136" i="44" a="1"/>
  <c r="BB136" i="44" s="1"/>
  <c r="BB182" i="44" s="1"/>
  <c r="BA136" i="44" a="1"/>
  <c r="BA136" i="44" s="1"/>
  <c r="BA182" i="44" s="1"/>
  <c r="AY136" i="44" a="1"/>
  <c r="AY136" i="44" s="1"/>
  <c r="AY182" i="44" s="1"/>
  <c r="AW136" i="44" a="1"/>
  <c r="AW136" i="44" s="1"/>
  <c r="AW182" i="44" s="1"/>
  <c r="AU136" i="44" a="1"/>
  <c r="AU136" i="44" s="1"/>
  <c r="AU182" i="44" s="1"/>
  <c r="AS136" i="44" a="1"/>
  <c r="AS136" i="44" s="1"/>
  <c r="AS182" i="44" s="1"/>
  <c r="AQ136" i="44" a="1"/>
  <c r="AQ136" i="44" s="1"/>
  <c r="AQ182" i="44" s="1"/>
  <c r="AO136" i="44" a="1"/>
  <c r="AO136" i="44" s="1"/>
  <c r="AO182" i="44" s="1"/>
  <c r="AK136" i="44" a="1"/>
  <c r="AK136" i="44" s="1"/>
  <c r="AK182" i="44" s="1"/>
  <c r="AI136" i="44" a="1"/>
  <c r="AI136" i="44" s="1"/>
  <c r="AI182" i="44" s="1"/>
  <c r="AG136" i="44" a="1"/>
  <c r="AG136" i="44" s="1"/>
  <c r="AG182" i="44" s="1"/>
  <c r="AG188" i="44" s="1"/>
  <c r="O136" i="44" a="1"/>
  <c r="O136" i="44" s="1"/>
  <c r="O182" i="44" s="1"/>
  <c r="O188" i="44" s="1"/>
  <c r="AR136" i="44" a="1"/>
  <c r="AR136" i="44" s="1"/>
  <c r="AR182" i="44" s="1"/>
  <c r="AL136" i="44" a="1"/>
  <c r="AL136" i="44" s="1"/>
  <c r="AL182" i="44" s="1"/>
  <c r="AC136" i="44" a="1"/>
  <c r="AC136" i="44" s="1"/>
  <c r="AC182" i="44" s="1"/>
  <c r="AA136" i="44" a="1"/>
  <c r="AA136" i="44" s="1"/>
  <c r="AA182" i="44" s="1"/>
  <c r="Y136" i="44" a="1"/>
  <c r="Y136" i="44" s="1"/>
  <c r="Y182" i="44" s="1"/>
  <c r="X136" i="44" a="1"/>
  <c r="X136" i="44" s="1"/>
  <c r="X182" i="44" s="1"/>
  <c r="U136" i="44" a="1"/>
  <c r="U136" i="44" s="1"/>
  <c r="U182" i="44" s="1"/>
  <c r="S136" i="44" a="1"/>
  <c r="S136" i="44" s="1"/>
  <c r="S182" i="44" s="1"/>
  <c r="Q136" i="44" a="1"/>
  <c r="Q136" i="44" s="1"/>
  <c r="Q182" i="44" s="1"/>
  <c r="M136" i="44" a="1"/>
  <c r="M136" i="44" s="1"/>
  <c r="M182" i="44" s="1"/>
  <c r="K136" i="44" a="1"/>
  <c r="K136" i="44" s="1"/>
  <c r="K182" i="44" s="1"/>
  <c r="AN136" i="44" a="1"/>
  <c r="AN136" i="44" s="1"/>
  <c r="AN182" i="44" s="1"/>
  <c r="AZ136" i="44" a="1"/>
  <c r="AZ136" i="44" s="1"/>
  <c r="AZ182" i="44" s="1"/>
  <c r="AX136" i="44" a="1"/>
  <c r="AX136" i="44" s="1"/>
  <c r="AX182" i="44" s="1"/>
  <c r="AM136" i="44" a="1"/>
  <c r="AM136" i="44" s="1"/>
  <c r="AM182" i="44" s="1"/>
  <c r="AY108" i="44"/>
  <c r="AY12" i="45" s="1"/>
  <c r="AQ108" i="44"/>
  <c r="AQ12" i="45" s="1"/>
  <c r="AI108" i="44"/>
  <c r="AI12" i="45" s="1"/>
  <c r="AA108" i="44"/>
  <c r="AA12" i="45" s="1"/>
  <c r="S108" i="44"/>
  <c r="S12" i="45" s="1"/>
  <c r="K108" i="44"/>
  <c r="K12" i="45" s="1"/>
  <c r="AO108" i="44"/>
  <c r="AO12" i="45" s="1"/>
  <c r="AG108" i="44"/>
  <c r="AG12" i="45" s="1"/>
  <c r="Y108" i="44"/>
  <c r="Y12" i="45" s="1"/>
  <c r="I108" i="44"/>
  <c r="I12" i="45" s="1"/>
  <c r="BB108" i="44"/>
  <c r="BB12" i="45" s="1"/>
  <c r="V108" i="44"/>
  <c r="V12" i="45" s="1"/>
  <c r="AS108" i="44"/>
  <c r="AS12" i="45" s="1"/>
  <c r="AX108" i="44"/>
  <c r="AX12" i="45" s="1"/>
  <c r="AP108" i="44"/>
  <c r="AP12" i="45" s="1"/>
  <c r="AH108" i="44"/>
  <c r="AH12" i="45" s="1"/>
  <c r="Z108" i="44"/>
  <c r="Z12" i="45" s="1"/>
  <c r="R108" i="44"/>
  <c r="R12" i="45" s="1"/>
  <c r="J108" i="44"/>
  <c r="J12" i="45" s="1"/>
  <c r="AW108" i="44"/>
  <c r="AW12" i="45" s="1"/>
  <c r="Q108" i="44"/>
  <c r="Q12" i="45" s="1"/>
  <c r="AT108" i="44"/>
  <c r="AT12" i="45" s="1"/>
  <c r="AD108" i="44"/>
  <c r="AD12" i="45" s="1"/>
  <c r="N108" i="44"/>
  <c r="N12" i="45" s="1"/>
  <c r="AC108" i="44"/>
  <c r="AC12" i="45" s="1"/>
  <c r="AZ108" i="44"/>
  <c r="AZ12" i="45" s="1"/>
  <c r="AR108" i="44"/>
  <c r="AR12" i="45" s="1"/>
  <c r="AJ108" i="44"/>
  <c r="AJ12" i="45" s="1"/>
  <c r="AB108" i="44"/>
  <c r="AB12" i="45" s="1"/>
  <c r="T108" i="44"/>
  <c r="T12" i="45" s="1"/>
  <c r="L108" i="44"/>
  <c r="L12" i="45" s="1"/>
  <c r="AV108" i="44"/>
  <c r="AV12" i="45" s="1"/>
  <c r="AN108" i="44"/>
  <c r="AN12" i="45" s="1"/>
  <c r="AF108" i="44"/>
  <c r="AF12" i="45" s="1"/>
  <c r="X108" i="44"/>
  <c r="X12" i="45" s="1"/>
  <c r="P108" i="44"/>
  <c r="P12" i="45" s="1"/>
  <c r="AU108" i="44"/>
  <c r="AU12" i="45" s="1"/>
  <c r="AM108" i="44"/>
  <c r="AM12" i="45" s="1"/>
  <c r="AE108" i="44"/>
  <c r="AE12" i="45" s="1"/>
  <c r="W108" i="44"/>
  <c r="W12" i="45" s="1"/>
  <c r="O108" i="44"/>
  <c r="O12" i="45" s="1"/>
  <c r="AL108" i="44"/>
  <c r="AL12" i="45" s="1"/>
  <c r="BA108" i="44"/>
  <c r="BA12" i="45" s="1"/>
  <c r="AK108" i="44"/>
  <c r="AK12" i="45" s="1"/>
  <c r="U108" i="44"/>
  <c r="U12" i="45" s="1"/>
  <c r="M108" i="44"/>
  <c r="M12" i="45" s="1"/>
  <c r="AQ3" i="45"/>
  <c r="AM3" i="45"/>
  <c r="AD3" i="45"/>
  <c r="M3" i="45"/>
  <c r="AN3" i="45"/>
  <c r="AI3" i="45"/>
  <c r="O3" i="45"/>
  <c r="N3" i="45"/>
  <c r="AA3" i="45"/>
  <c r="J3" i="45"/>
  <c r="AF3" i="45"/>
  <c r="X3" i="45"/>
  <c r="P3" i="45"/>
  <c r="AR3" i="45"/>
  <c r="BA3" i="45"/>
  <c r="AJ3" i="45"/>
  <c r="S3" i="45"/>
  <c r="AW3" i="45"/>
  <c r="AE3" i="45"/>
  <c r="R3" i="45"/>
  <c r="AS3" i="45"/>
  <c r="AO3" i="45"/>
  <c r="V3" i="45"/>
  <c r="AB3" i="45"/>
  <c r="K3" i="45"/>
  <c r="W3" i="45"/>
  <c r="AK3" i="45"/>
  <c r="T3" i="45"/>
  <c r="AX3" i="45"/>
  <c r="AG3" i="45"/>
  <c r="AV3" i="45"/>
  <c r="AZ3" i="45"/>
  <c r="AC3" i="45"/>
  <c r="AP3" i="45"/>
  <c r="BB3" i="45"/>
  <c r="Z3" i="45"/>
  <c r="AT3" i="45"/>
  <c r="L3" i="45"/>
  <c r="Y3" i="45"/>
  <c r="AL3" i="45"/>
  <c r="U3" i="45"/>
  <c r="AY3" i="45"/>
  <c r="AH3" i="45"/>
  <c r="Q3" i="45"/>
  <c r="AU3" i="45"/>
  <c r="E15" i="61"/>
  <c r="C41" i="70" s="1"/>
  <c r="P166" i="44" l="1"/>
  <c r="AF188" i="44"/>
  <c r="AF19" i="45" s="1"/>
  <c r="AA188" i="44"/>
  <c r="AS188" i="44"/>
  <c r="R188" i="44"/>
  <c r="R19" i="45" s="1"/>
  <c r="AR188" i="44"/>
  <c r="AR19" i="45" s="1"/>
  <c r="Y188" i="44"/>
  <c r="Y19" i="45" s="1"/>
  <c r="U188" i="44"/>
  <c r="U19" i="45" s="1"/>
  <c r="T188" i="44"/>
  <c r="T19" i="45" s="1"/>
  <c r="Q188" i="44"/>
  <c r="Q19" i="45" s="1"/>
  <c r="AQ188" i="44"/>
  <c r="X188" i="44"/>
  <c r="AE188" i="44"/>
  <c r="AE19" i="45" s="1"/>
  <c r="V188" i="44"/>
  <c r="V19" i="45" s="1"/>
  <c r="BA188" i="44"/>
  <c r="BA19" i="45" s="1"/>
  <c r="Z188" i="44"/>
  <c r="Z19" i="45" s="1"/>
  <c r="AN188" i="44"/>
  <c r="AN19" i="45" s="1"/>
  <c r="BB188" i="44"/>
  <c r="BB19" i="45" s="1"/>
  <c r="AZ188" i="44"/>
  <c r="AY188" i="44"/>
  <c r="AC188" i="44"/>
  <c r="AC19" i="45" s="1"/>
  <c r="AH188" i="44"/>
  <c r="AH19" i="45" s="1"/>
  <c r="S188" i="44"/>
  <c r="S19" i="45" s="1"/>
  <c r="AL188" i="44"/>
  <c r="AL19" i="45" s="1"/>
  <c r="AB188" i="44"/>
  <c r="AB19" i="45" s="1"/>
  <c r="AK188" i="44"/>
  <c r="AK19" i="45" s="1"/>
  <c r="L188" i="44"/>
  <c r="AU188" i="44"/>
  <c r="AI188" i="44"/>
  <c r="AI19" i="45" s="1"/>
  <c r="AX188" i="44"/>
  <c r="AX19" i="45" s="1"/>
  <c r="AD188" i="44"/>
  <c r="AD19" i="45" s="1"/>
  <c r="AW188" i="44"/>
  <c r="AW19" i="45" s="1"/>
  <c r="K188" i="44"/>
  <c r="K19" i="45" s="1"/>
  <c r="AO188" i="44"/>
  <c r="AO19" i="45" s="1"/>
  <c r="M188" i="44"/>
  <c r="N188" i="44"/>
  <c r="J188" i="44"/>
  <c r="J19" i="45" s="1"/>
  <c r="AT188" i="44"/>
  <c r="AT19" i="45" s="1"/>
  <c r="AM188" i="44"/>
  <c r="AM19" i="45" s="1"/>
  <c r="W188" i="44"/>
  <c r="W19" i="45" s="1"/>
  <c r="AV188" i="44"/>
  <c r="AV19" i="45" s="1"/>
  <c r="AJ188" i="44"/>
  <c r="AJ19" i="45" s="1"/>
  <c r="P182" i="44"/>
  <c r="P188" i="44" s="1"/>
  <c r="P19" i="45" s="1"/>
  <c r="P137" i="44"/>
  <c r="P138" i="44" s="1"/>
  <c r="P153" i="44" s="1"/>
  <c r="I182" i="44"/>
  <c r="I188" i="44" s="1"/>
  <c r="I19" i="45" s="1"/>
  <c r="I166" i="44"/>
  <c r="I17" i="45" s="1"/>
  <c r="I137" i="44"/>
  <c r="I138" i="44" s="1"/>
  <c r="I153" i="44" s="1"/>
  <c r="I14" i="45" s="1"/>
  <c r="H184" i="44"/>
  <c r="H183" i="44"/>
  <c r="AK42" i="44"/>
  <c r="AK40" i="44"/>
  <c r="BB42" i="44"/>
  <c r="BB40" i="44"/>
  <c r="BB43" i="44" s="1"/>
  <c r="W42" i="44"/>
  <c r="W40" i="44"/>
  <c r="W43" i="44" s="1"/>
  <c r="AW42" i="44"/>
  <c r="AW40" i="44"/>
  <c r="AW75" i="44" s="1"/>
  <c r="J42" i="44"/>
  <c r="J40" i="44"/>
  <c r="K42" i="44"/>
  <c r="K40" i="44"/>
  <c r="K43" i="44" s="1"/>
  <c r="K45" i="44" s="1"/>
  <c r="U42" i="44"/>
  <c r="U40" i="44"/>
  <c r="U75" i="44" s="1"/>
  <c r="AA42" i="44"/>
  <c r="AA40" i="44"/>
  <c r="AA43" i="44" s="1"/>
  <c r="AY42" i="44"/>
  <c r="AY40" i="44"/>
  <c r="AY43" i="44" s="1"/>
  <c r="AO42" i="44"/>
  <c r="AO40" i="44"/>
  <c r="AO75" i="44" s="1"/>
  <c r="AB42" i="44"/>
  <c r="AB40" i="44"/>
  <c r="AB43" i="44" s="1"/>
  <c r="AV42" i="44"/>
  <c r="AV40" i="44"/>
  <c r="AV43" i="44" s="1"/>
  <c r="AZ42" i="44"/>
  <c r="AZ40" i="44"/>
  <c r="AL42" i="44"/>
  <c r="AL40" i="44"/>
  <c r="AL75" i="44" s="1"/>
  <c r="O42" i="44"/>
  <c r="O40" i="44"/>
  <c r="O75" i="44" s="1"/>
  <c r="AG42" i="44"/>
  <c r="AG40" i="44"/>
  <c r="AG43" i="44" s="1"/>
  <c r="L42" i="44"/>
  <c r="L40" i="44"/>
  <c r="AQ42" i="44"/>
  <c r="AQ40" i="44"/>
  <c r="AQ75" i="44" s="1"/>
  <c r="AU42" i="44"/>
  <c r="AU40" i="44"/>
  <c r="AU43" i="44" s="1"/>
  <c r="N42" i="44"/>
  <c r="N40" i="44"/>
  <c r="N75" i="44" s="1"/>
  <c r="R42" i="44"/>
  <c r="R40" i="44"/>
  <c r="R43" i="44" s="1"/>
  <c r="AE42" i="44"/>
  <c r="AE40" i="44"/>
  <c r="AE43" i="44" s="1"/>
  <c r="AF42" i="44"/>
  <c r="AF40" i="44"/>
  <c r="AF75" i="44" s="1"/>
  <c r="I42" i="44"/>
  <c r="I40" i="44"/>
  <c r="S42" i="44"/>
  <c r="S40" i="44"/>
  <c r="S43" i="44" s="1"/>
  <c r="Z42" i="44"/>
  <c r="Z40" i="44"/>
  <c r="Z75" i="44" s="1"/>
  <c r="M42" i="44"/>
  <c r="M40" i="44"/>
  <c r="M75" i="44" s="1"/>
  <c r="AX42" i="44"/>
  <c r="AX40" i="44"/>
  <c r="AX75" i="44" s="1"/>
  <c r="AC42" i="44"/>
  <c r="AC40" i="44"/>
  <c r="P42" i="44"/>
  <c r="P40" i="44"/>
  <c r="P75" i="44" s="1"/>
  <c r="AM42" i="44"/>
  <c r="AM40" i="44"/>
  <c r="AM43" i="44" s="1"/>
  <c r="AJ42" i="44"/>
  <c r="AJ40" i="44"/>
  <c r="AJ43" i="44" s="1"/>
  <c r="AT42" i="44"/>
  <c r="AT40" i="44"/>
  <c r="Y42" i="44"/>
  <c r="Y40" i="44"/>
  <c r="Y43" i="44" s="1"/>
  <c r="V42" i="44"/>
  <c r="V40" i="44"/>
  <c r="V43" i="44" s="1"/>
  <c r="T42" i="44"/>
  <c r="T40" i="44"/>
  <c r="T75" i="44" s="1"/>
  <c r="AH42" i="44"/>
  <c r="AH40" i="44"/>
  <c r="AP42" i="44"/>
  <c r="AP40" i="44"/>
  <c r="AP43" i="44" s="1"/>
  <c r="AN42" i="44"/>
  <c r="AN40" i="44"/>
  <c r="AN75" i="44" s="1"/>
  <c r="AI42" i="44"/>
  <c r="AI40" i="44"/>
  <c r="AI43" i="44" s="1"/>
  <c r="AD42" i="44"/>
  <c r="AD40" i="44"/>
  <c r="AS42" i="44"/>
  <c r="AS40" i="44"/>
  <c r="AS75" i="44" s="1"/>
  <c r="AR42" i="44"/>
  <c r="AR40" i="44"/>
  <c r="AR75" i="44" s="1"/>
  <c r="Q42" i="44"/>
  <c r="Q40" i="44"/>
  <c r="Q75" i="44" s="1"/>
  <c r="X42" i="44"/>
  <c r="X40" i="44"/>
  <c r="BA42" i="44"/>
  <c r="BA40" i="44"/>
  <c r="BA75" i="44" s="1"/>
  <c r="T21" i="44"/>
  <c r="L166" i="44"/>
  <c r="L17" i="45" s="1"/>
  <c r="L19" i="45"/>
  <c r="AT166" i="44"/>
  <c r="AT17" i="45" s="1"/>
  <c r="X166" i="44"/>
  <c r="X17" i="45" s="1"/>
  <c r="X19" i="45"/>
  <c r="AS166" i="44"/>
  <c r="AS17" i="45" s="1"/>
  <c r="AS19" i="45"/>
  <c r="W166" i="44"/>
  <c r="W17" i="45" s="1"/>
  <c r="AI166" i="44"/>
  <c r="AI17" i="45" s="1"/>
  <c r="U166" i="44"/>
  <c r="U17" i="45" s="1"/>
  <c r="AA19" i="45"/>
  <c r="AA166" i="44"/>
  <c r="AA17" i="45" s="1"/>
  <c r="AM166" i="44"/>
  <c r="AM17" i="45" s="1"/>
  <c r="AC166" i="44"/>
  <c r="AC17" i="45" s="1"/>
  <c r="AW166" i="44"/>
  <c r="AW17" i="45" s="1"/>
  <c r="Z166" i="44"/>
  <c r="Z17" i="45" s="1"/>
  <c r="M166" i="44"/>
  <c r="M17" i="45" s="1"/>
  <c r="M19" i="45"/>
  <c r="R166" i="44"/>
  <c r="R17" i="45" s="1"/>
  <c r="V166" i="44"/>
  <c r="V17" i="45" s="1"/>
  <c r="AX166" i="44"/>
  <c r="AX17" i="45" s="1"/>
  <c r="AL166" i="44"/>
  <c r="AL17" i="45" s="1"/>
  <c r="AY19" i="45"/>
  <c r="AY166" i="44"/>
  <c r="AY17" i="45" s="1"/>
  <c r="AB166" i="44"/>
  <c r="AB17" i="45" s="1"/>
  <c r="AQ166" i="44"/>
  <c r="AQ17" i="45" s="1"/>
  <c r="AQ19" i="45"/>
  <c r="AU19" i="45"/>
  <c r="AU166" i="44"/>
  <c r="AU17" i="45" s="1"/>
  <c r="AZ19" i="45"/>
  <c r="AZ166" i="44"/>
  <c r="AZ17" i="45" s="1"/>
  <c r="AR166" i="44"/>
  <c r="AR17" i="45" s="1"/>
  <c r="BA166" i="44"/>
  <c r="BA17" i="45" s="1"/>
  <c r="AD166" i="44"/>
  <c r="AD17" i="45" s="1"/>
  <c r="AJ166" i="44"/>
  <c r="AJ17" i="45" s="1"/>
  <c r="T166" i="44"/>
  <c r="T17" i="45" s="1"/>
  <c r="Y166" i="44"/>
  <c r="Y17" i="45" s="1"/>
  <c r="AN166" i="44"/>
  <c r="AN17" i="45" s="1"/>
  <c r="AO166" i="44"/>
  <c r="AO17" i="45" s="1"/>
  <c r="O19" i="45"/>
  <c r="O166" i="44"/>
  <c r="O17" i="45" s="1"/>
  <c r="BB166" i="44"/>
  <c r="BB17" i="45" s="1"/>
  <c r="AE166" i="44"/>
  <c r="AE17" i="45" s="1"/>
  <c r="K166" i="44"/>
  <c r="K17" i="45" s="1"/>
  <c r="AG166" i="44"/>
  <c r="AG17" i="45" s="1"/>
  <c r="AG19" i="45"/>
  <c r="J166" i="44"/>
  <c r="J17" i="45" s="1"/>
  <c r="AH166" i="44"/>
  <c r="AH17" i="45" s="1"/>
  <c r="Q166" i="44"/>
  <c r="Q17" i="45" s="1"/>
  <c r="AK166" i="44"/>
  <c r="AK17" i="45" s="1"/>
  <c r="N166" i="44"/>
  <c r="N17" i="45" s="1"/>
  <c r="N19" i="45"/>
  <c r="AF166" i="44"/>
  <c r="AF17" i="45" s="1"/>
  <c r="S166" i="44"/>
  <c r="S17" i="45" s="1"/>
  <c r="P17" i="45"/>
  <c r="AV166" i="44"/>
  <c r="AV17" i="45" s="1"/>
  <c r="AP166" i="44"/>
  <c r="AP17" i="45" s="1"/>
  <c r="AP19" i="45"/>
  <c r="X43" i="44"/>
  <c r="X75" i="44"/>
  <c r="R75" i="44"/>
  <c r="AK43" i="44"/>
  <c r="AK75" i="44"/>
  <c r="L43" i="44"/>
  <c r="L75" i="44"/>
  <c r="AD75" i="44"/>
  <c r="AD43" i="44"/>
  <c r="AY75" i="44"/>
  <c r="S23" i="44"/>
  <c r="J43" i="44"/>
  <c r="J75" i="44"/>
  <c r="AH43" i="44"/>
  <c r="AH75" i="44"/>
  <c r="AT43" i="44"/>
  <c r="AT75" i="44"/>
  <c r="AZ75" i="44"/>
  <c r="AZ43" i="44"/>
  <c r="S75" i="44"/>
  <c r="AC75" i="44"/>
  <c r="AC43" i="44"/>
  <c r="H39" i="44"/>
  <c r="AA137" i="44"/>
  <c r="AA138" i="44" s="1"/>
  <c r="AA153" i="44" s="1"/>
  <c r="AU137" i="44"/>
  <c r="AU138" i="44" s="1"/>
  <c r="AU153" i="44" s="1"/>
  <c r="W137" i="44"/>
  <c r="W138" i="44" s="1"/>
  <c r="W153" i="44" s="1"/>
  <c r="AM137" i="44"/>
  <c r="AM138" i="44" s="1"/>
  <c r="AM153" i="44" s="1"/>
  <c r="AC137" i="44"/>
  <c r="AC138" i="44" s="1"/>
  <c r="AC153" i="44" s="1"/>
  <c r="AW137" i="44"/>
  <c r="AW138" i="44" s="1"/>
  <c r="AW153" i="44" s="1"/>
  <c r="Z137" i="44"/>
  <c r="Z138" i="44" s="1"/>
  <c r="Z153" i="44" s="1"/>
  <c r="AL137" i="44"/>
  <c r="AL138" i="44" s="1"/>
  <c r="AL153" i="44" s="1"/>
  <c r="AB137" i="44"/>
  <c r="AB138" i="44" s="1"/>
  <c r="AB153" i="44" s="1"/>
  <c r="AR137" i="44"/>
  <c r="AR138" i="44" s="1"/>
  <c r="AR153" i="44" s="1"/>
  <c r="M137" i="44"/>
  <c r="M138" i="44" s="1"/>
  <c r="M153" i="44" s="1"/>
  <c r="AI137" i="44"/>
  <c r="AI138" i="44" s="1"/>
  <c r="AI153" i="44" s="1"/>
  <c r="L137" i="44"/>
  <c r="L138" i="44" s="1"/>
  <c r="L153" i="44" s="1"/>
  <c r="AJ137" i="44"/>
  <c r="AJ138" i="44" s="1"/>
  <c r="AJ153" i="44" s="1"/>
  <c r="AY137" i="44"/>
  <c r="AY138" i="44" s="1"/>
  <c r="AY153" i="44" s="1"/>
  <c r="Q137" i="44"/>
  <c r="Q138" i="44" s="1"/>
  <c r="Q153" i="44" s="1"/>
  <c r="AK137" i="44"/>
  <c r="AK138" i="44" s="1"/>
  <c r="AK153" i="44" s="1"/>
  <c r="N137" i="44"/>
  <c r="N138" i="44" s="1"/>
  <c r="N153" i="44" s="1"/>
  <c r="AF137" i="44"/>
  <c r="AF138" i="44" s="1"/>
  <c r="AF153" i="44" s="1"/>
  <c r="AX137" i="44"/>
  <c r="AX138" i="44" s="1"/>
  <c r="AX153" i="44" s="1"/>
  <c r="BA137" i="44"/>
  <c r="BA138" i="44" s="1"/>
  <c r="BA153" i="44" s="1"/>
  <c r="AN137" i="44"/>
  <c r="AN138" i="44" s="1"/>
  <c r="AN153" i="44" s="1"/>
  <c r="AE137" i="44"/>
  <c r="AE138" i="44" s="1"/>
  <c r="AE153" i="44" s="1"/>
  <c r="K137" i="44"/>
  <c r="K138" i="44" s="1"/>
  <c r="K153" i="44" s="1"/>
  <c r="S137" i="44"/>
  <c r="S138" i="44" s="1"/>
  <c r="S153" i="44" s="1"/>
  <c r="AV137" i="44"/>
  <c r="AV138" i="44" s="1"/>
  <c r="AV153" i="44" s="1"/>
  <c r="AP137" i="44"/>
  <c r="AP138" i="44" s="1"/>
  <c r="AP153" i="44" s="1"/>
  <c r="AD137" i="44"/>
  <c r="AD138" i="44" s="1"/>
  <c r="AD153" i="44" s="1"/>
  <c r="J137" i="44"/>
  <c r="J138" i="44" s="1"/>
  <c r="J153" i="44" s="1"/>
  <c r="U137" i="44"/>
  <c r="U138" i="44" s="1"/>
  <c r="U153" i="44" s="1"/>
  <c r="AO137" i="44"/>
  <c r="AO138" i="44" s="1"/>
  <c r="AO153" i="44" s="1"/>
  <c r="R137" i="44"/>
  <c r="R138" i="44" s="1"/>
  <c r="R153" i="44" s="1"/>
  <c r="AT137" i="44"/>
  <c r="AT138" i="44" s="1"/>
  <c r="AT153" i="44" s="1"/>
  <c r="AZ137" i="44"/>
  <c r="AZ138" i="44" s="1"/>
  <c r="AZ153" i="44" s="1"/>
  <c r="O137" i="44"/>
  <c r="O138" i="44" s="1"/>
  <c r="O153" i="44" s="1"/>
  <c r="AG137" i="44"/>
  <c r="AG138" i="44" s="1"/>
  <c r="AG153" i="44" s="1"/>
  <c r="X137" i="44"/>
  <c r="X138" i="44" s="1"/>
  <c r="X153" i="44" s="1"/>
  <c r="AQ137" i="44"/>
  <c r="AQ138" i="44" s="1"/>
  <c r="AQ153" i="44" s="1"/>
  <c r="T137" i="44"/>
  <c r="T138" i="44" s="1"/>
  <c r="T153" i="44" s="1"/>
  <c r="BB137" i="44"/>
  <c r="BB138" i="44" s="1"/>
  <c r="BB153" i="44" s="1"/>
  <c r="AH137" i="44"/>
  <c r="AH138" i="44" s="1"/>
  <c r="AH153" i="44" s="1"/>
  <c r="Y137" i="44"/>
  <c r="Y138" i="44" s="1"/>
  <c r="Y153" i="44" s="1"/>
  <c r="AS137" i="44"/>
  <c r="AS138" i="44" s="1"/>
  <c r="AS153" i="44" s="1"/>
  <c r="V137" i="44"/>
  <c r="V138" i="44" s="1"/>
  <c r="V153" i="44" s="1"/>
  <c r="H150" i="44"/>
  <c r="H151" i="44"/>
  <c r="H12" i="45"/>
  <c r="D166" i="70" s="1"/>
  <c r="H108" i="44"/>
  <c r="Q11" i="45"/>
  <c r="E16" i="61"/>
  <c r="C42" i="70" s="1"/>
  <c r="AQ43" i="44" l="1"/>
  <c r="AQ45" i="44" s="1"/>
  <c r="AS43" i="44"/>
  <c r="AS45" i="44" s="1"/>
  <c r="AT45" i="44"/>
  <c r="BA43" i="44"/>
  <c r="BA45" i="44" s="1"/>
  <c r="Z43" i="44"/>
  <c r="Z45" i="44" s="1"/>
  <c r="AO43" i="44"/>
  <c r="AO45" i="44" s="1"/>
  <c r="K75" i="44"/>
  <c r="AH45" i="44"/>
  <c r="AP45" i="44"/>
  <c r="Y45" i="44"/>
  <c r="AE45" i="44"/>
  <c r="BB45" i="44"/>
  <c r="AC45" i="44"/>
  <c r="L45" i="44"/>
  <c r="X45" i="44"/>
  <c r="S45" i="44"/>
  <c r="AK45" i="44"/>
  <c r="AY45" i="44"/>
  <c r="AZ45" i="44"/>
  <c r="J45" i="44"/>
  <c r="AD45" i="44"/>
  <c r="R45" i="44"/>
  <c r="AI45" i="44"/>
  <c r="AJ45" i="44"/>
  <c r="AG45" i="44"/>
  <c r="AV45" i="44"/>
  <c r="AM75" i="44"/>
  <c r="AM79" i="44" s="1"/>
  <c r="AM87" i="44" s="1"/>
  <c r="U43" i="44"/>
  <c r="U45" i="44" s="1"/>
  <c r="BB75" i="44"/>
  <c r="BB82" i="44" s="1"/>
  <c r="AF43" i="44"/>
  <c r="AF45" i="44" s="1"/>
  <c r="W75" i="44"/>
  <c r="W79" i="44" s="1"/>
  <c r="W87" i="44" s="1"/>
  <c r="Y75" i="44"/>
  <c r="Y81" i="44" s="1"/>
  <c r="Y89" i="44" s="1"/>
  <c r="AP75" i="44"/>
  <c r="AP82" i="44" s="1"/>
  <c r="AP90" i="44" s="1"/>
  <c r="V75" i="44"/>
  <c r="V81" i="44" s="1"/>
  <c r="V89" i="44" s="1"/>
  <c r="P43" i="44"/>
  <c r="P45" i="44" s="1"/>
  <c r="AL43" i="44"/>
  <c r="AL45" i="44" s="1"/>
  <c r="AB75" i="44"/>
  <c r="AB79" i="44" s="1"/>
  <c r="AB87" i="44" s="1"/>
  <c r="AE75" i="44"/>
  <c r="AE82" i="44" s="1"/>
  <c r="AE90" i="44" s="1"/>
  <c r="AM45" i="44"/>
  <c r="V45" i="44"/>
  <c r="N43" i="44"/>
  <c r="N45" i="44" s="1"/>
  <c r="AU45" i="44"/>
  <c r="AB45" i="44"/>
  <c r="W45" i="44"/>
  <c r="AA75" i="44"/>
  <c r="AA81" i="44" s="1"/>
  <c r="AA89" i="44" s="1"/>
  <c r="AX43" i="44"/>
  <c r="AX45" i="44" s="1"/>
  <c r="I43" i="44"/>
  <c r="I45" i="44" s="1"/>
  <c r="I75" i="44"/>
  <c r="AU75" i="44"/>
  <c r="AU82" i="44" s="1"/>
  <c r="AA45" i="44"/>
  <c r="AJ75" i="44"/>
  <c r="AJ80" i="44" s="1"/>
  <c r="AJ88" i="44" s="1"/>
  <c r="T43" i="44"/>
  <c r="T45" i="44" s="1"/>
  <c r="AW43" i="44"/>
  <c r="AW45" i="44" s="1"/>
  <c r="Q43" i="44"/>
  <c r="Q45" i="44" s="1"/>
  <c r="AV75" i="44"/>
  <c r="AV80" i="44" s="1"/>
  <c r="AN43" i="44"/>
  <c r="AN45" i="44" s="1"/>
  <c r="AR43" i="44"/>
  <c r="AR45" i="44" s="1"/>
  <c r="AG75" i="44"/>
  <c r="AG82" i="44" s="1"/>
  <c r="AG90" i="44" s="1"/>
  <c r="M43" i="44"/>
  <c r="M45" i="44" s="1"/>
  <c r="O43" i="44"/>
  <c r="O45" i="44" s="1"/>
  <c r="AI75" i="44"/>
  <c r="AI82" i="44" s="1"/>
  <c r="AI90" i="44" s="1"/>
  <c r="D19" i="19"/>
  <c r="H19" i="45"/>
  <c r="U21" i="44"/>
  <c r="H188" i="44"/>
  <c r="H17" i="45"/>
  <c r="X80" i="44"/>
  <c r="X88" i="44" s="1"/>
  <c r="X79" i="44"/>
  <c r="X87" i="44" s="1"/>
  <c r="X82" i="44"/>
  <c r="X90" i="44" s="1"/>
  <c r="X81" i="44"/>
  <c r="X89" i="44" s="1"/>
  <c r="P82" i="44"/>
  <c r="P90" i="44" s="1"/>
  <c r="P81" i="44"/>
  <c r="P89" i="44" s="1"/>
  <c r="P80" i="44"/>
  <c r="P88" i="44" s="1"/>
  <c r="P79" i="44"/>
  <c r="P87" i="44" s="1"/>
  <c r="AQ82" i="44"/>
  <c r="AQ81" i="44"/>
  <c r="AQ79" i="44"/>
  <c r="AQ80" i="44"/>
  <c r="AW80" i="44"/>
  <c r="AW79" i="44"/>
  <c r="AW82" i="44"/>
  <c r="AW81" i="44"/>
  <c r="Q82" i="44"/>
  <c r="Q90" i="44" s="1"/>
  <c r="Q81" i="44"/>
  <c r="Q89" i="44" s="1"/>
  <c r="Q80" i="44"/>
  <c r="Q88" i="44" s="1"/>
  <c r="Q79" i="44"/>
  <c r="Q87" i="44" s="1"/>
  <c r="AX81" i="44"/>
  <c r="AX80" i="44"/>
  <c r="AX79" i="44"/>
  <c r="AX82" i="44"/>
  <c r="O81" i="44"/>
  <c r="O89" i="44" s="1"/>
  <c r="O80" i="44"/>
  <c r="O88" i="44" s="1"/>
  <c r="O79" i="44"/>
  <c r="O87" i="44" s="1"/>
  <c r="O82" i="44"/>
  <c r="O90" i="44" s="1"/>
  <c r="AC82" i="44"/>
  <c r="AC90" i="44" s="1"/>
  <c r="AC81" i="44"/>
  <c r="AC89" i="44" s="1"/>
  <c r="AC80" i="44"/>
  <c r="AC88" i="44" s="1"/>
  <c r="AC79" i="44"/>
  <c r="AC87" i="44" s="1"/>
  <c r="AY81" i="44"/>
  <c r="AY80" i="44"/>
  <c r="AY82" i="44"/>
  <c r="AY79" i="44"/>
  <c r="AD82" i="44"/>
  <c r="AD90" i="44" s="1"/>
  <c r="AD80" i="44"/>
  <c r="AD88" i="44" s="1"/>
  <c r="AD81" i="44"/>
  <c r="AD89" i="44" s="1"/>
  <c r="AD79" i="44"/>
  <c r="AD87" i="44" s="1"/>
  <c r="K79" i="44"/>
  <c r="K87" i="44" s="1"/>
  <c r="K80" i="44"/>
  <c r="K88" i="44" s="1"/>
  <c r="K82" i="44"/>
  <c r="K90" i="44" s="1"/>
  <c r="K81" i="44"/>
  <c r="K89" i="44" s="1"/>
  <c r="AZ82" i="44"/>
  <c r="AZ81" i="44"/>
  <c r="AZ80" i="44"/>
  <c r="AZ79" i="44"/>
  <c r="AL81" i="44"/>
  <c r="AL89" i="44" s="1"/>
  <c r="AL80" i="44"/>
  <c r="AL88" i="44" s="1"/>
  <c r="AL79" i="44"/>
  <c r="AL87" i="44" s="1"/>
  <c r="AL82" i="44"/>
  <c r="AL90" i="44" s="1"/>
  <c r="U79" i="44"/>
  <c r="U87" i="44" s="1"/>
  <c r="U81" i="44"/>
  <c r="U89" i="44" s="1"/>
  <c r="U82" i="44"/>
  <c r="U90" i="44" s="1"/>
  <c r="U80" i="44"/>
  <c r="U88" i="44" s="1"/>
  <c r="N81" i="44"/>
  <c r="N89" i="44" s="1"/>
  <c r="N80" i="44"/>
  <c r="N88" i="44" s="1"/>
  <c r="N79" i="44"/>
  <c r="N87" i="44" s="1"/>
  <c r="N82" i="44"/>
  <c r="N90" i="44" s="1"/>
  <c r="M80" i="44"/>
  <c r="M88" i="44" s="1"/>
  <c r="M79" i="44"/>
  <c r="M87" i="44" s="1"/>
  <c r="M82" i="44"/>
  <c r="M90" i="44" s="1"/>
  <c r="M81" i="44"/>
  <c r="M89" i="44" s="1"/>
  <c r="AK80" i="44"/>
  <c r="AK88" i="44" s="1"/>
  <c r="AK79" i="44"/>
  <c r="AK87" i="44" s="1"/>
  <c r="AK81" i="44"/>
  <c r="AK89" i="44" s="1"/>
  <c r="AK82" i="44"/>
  <c r="AK90" i="44" s="1"/>
  <c r="AO82" i="44"/>
  <c r="AO90" i="44" s="1"/>
  <c r="AO81" i="44"/>
  <c r="AO89" i="44" s="1"/>
  <c r="AO79" i="44"/>
  <c r="AO87" i="44" s="1"/>
  <c r="AO80" i="44"/>
  <c r="AO88" i="44" s="1"/>
  <c r="T79" i="44"/>
  <c r="T87" i="44" s="1"/>
  <c r="T81" i="44"/>
  <c r="T89" i="44" s="1"/>
  <c r="T82" i="44"/>
  <c r="T90" i="44" s="1"/>
  <c r="T80" i="44"/>
  <c r="T88" i="44" s="1"/>
  <c r="AF82" i="44"/>
  <c r="AF90" i="44" s="1"/>
  <c r="AF80" i="44"/>
  <c r="AF88" i="44" s="1"/>
  <c r="AF81" i="44"/>
  <c r="AF89" i="44" s="1"/>
  <c r="AF79" i="44"/>
  <c r="AF87" i="44" s="1"/>
  <c r="AM82" i="44"/>
  <c r="AM90" i="44" s="1"/>
  <c r="AN82" i="44"/>
  <c r="AN90" i="44" s="1"/>
  <c r="AN81" i="44"/>
  <c r="AN89" i="44" s="1"/>
  <c r="AN79" i="44"/>
  <c r="AN87" i="44" s="1"/>
  <c r="AN80" i="44"/>
  <c r="AN88" i="44" s="1"/>
  <c r="Z81" i="44"/>
  <c r="Z89" i="44" s="1"/>
  <c r="Z80" i="44"/>
  <c r="Z88" i="44" s="1"/>
  <c r="Z82" i="44"/>
  <c r="Z90" i="44" s="1"/>
  <c r="Z79" i="44"/>
  <c r="Z87" i="44" s="1"/>
  <c r="R82" i="44"/>
  <c r="R90" i="44" s="1"/>
  <c r="R79" i="44"/>
  <c r="R87" i="44" s="1"/>
  <c r="R81" i="44"/>
  <c r="R89" i="44" s="1"/>
  <c r="R80" i="44"/>
  <c r="R88" i="44" s="1"/>
  <c r="BA82" i="44"/>
  <c r="BA81" i="44"/>
  <c r="BA80" i="44"/>
  <c r="BA79" i="44"/>
  <c r="AR80" i="44"/>
  <c r="AR82" i="44"/>
  <c r="AR79" i="44"/>
  <c r="AR81" i="44"/>
  <c r="AT79" i="44"/>
  <c r="AT80" i="44"/>
  <c r="AT82" i="44"/>
  <c r="AT81" i="44"/>
  <c r="AS80" i="44"/>
  <c r="AS82" i="44"/>
  <c r="AS79" i="44"/>
  <c r="AS81" i="44"/>
  <c r="L80" i="44"/>
  <c r="L88" i="44" s="1"/>
  <c r="L79" i="44"/>
  <c r="L87" i="44" s="1"/>
  <c r="L82" i="44"/>
  <c r="L90" i="44" s="1"/>
  <c r="L81" i="44"/>
  <c r="L89" i="44" s="1"/>
  <c r="S82" i="44"/>
  <c r="S90" i="44" s="1"/>
  <c r="S79" i="44"/>
  <c r="S87" i="44" s="1"/>
  <c r="S81" i="44"/>
  <c r="S89" i="44" s="1"/>
  <c r="S80" i="44"/>
  <c r="S88" i="44" s="1"/>
  <c r="AH79" i="44"/>
  <c r="AH87" i="44" s="1"/>
  <c r="AH81" i="44"/>
  <c r="AH89" i="44" s="1"/>
  <c r="AH82" i="44"/>
  <c r="AH90" i="44" s="1"/>
  <c r="AH80" i="44"/>
  <c r="AH88" i="44" s="1"/>
  <c r="J79" i="44"/>
  <c r="J87" i="44" s="1"/>
  <c r="J80" i="44"/>
  <c r="J88" i="44" s="1"/>
  <c r="J82" i="44"/>
  <c r="J90" i="44" s="1"/>
  <c r="J81" i="44"/>
  <c r="J89" i="44" s="1"/>
  <c r="BB14" i="45"/>
  <c r="M14" i="45"/>
  <c r="T14" i="45"/>
  <c r="AT14" i="45"/>
  <c r="AP14" i="45"/>
  <c r="AN14" i="45"/>
  <c r="Q14" i="45"/>
  <c r="AR14" i="45"/>
  <c r="AM14" i="45"/>
  <c r="AE14" i="45"/>
  <c r="AD14" i="45"/>
  <c r="R14" i="45"/>
  <c r="AV14" i="45"/>
  <c r="BA14" i="45"/>
  <c r="AY14" i="45"/>
  <c r="AB14" i="45"/>
  <c r="W14" i="45"/>
  <c r="AO14" i="45"/>
  <c r="P14" i="45"/>
  <c r="AX14" i="45"/>
  <c r="AJ14" i="45"/>
  <c r="AL14" i="45"/>
  <c r="AU14" i="45"/>
  <c r="AZ14" i="45"/>
  <c r="AQ14" i="45"/>
  <c r="AK14" i="45"/>
  <c r="V14" i="45"/>
  <c r="X14" i="45"/>
  <c r="Y14" i="45"/>
  <c r="AG14" i="45"/>
  <c r="U14" i="45"/>
  <c r="S14" i="45"/>
  <c r="AF14" i="45"/>
  <c r="L14" i="45"/>
  <c r="Z14" i="45"/>
  <c r="AA14" i="45"/>
  <c r="AC14" i="45"/>
  <c r="AS14" i="45"/>
  <c r="AH14" i="45"/>
  <c r="O14" i="45"/>
  <c r="J14" i="45"/>
  <c r="K14" i="45"/>
  <c r="N14" i="45"/>
  <c r="AI14" i="45"/>
  <c r="AW14" i="45"/>
  <c r="H166" i="44"/>
  <c r="H137" i="44"/>
  <c r="H138" i="44"/>
  <c r="R11" i="45"/>
  <c r="E17" i="61"/>
  <c r="C43" i="70" s="1"/>
  <c r="P91" i="44" l="1"/>
  <c r="Y82" i="44"/>
  <c r="Y90" i="44" s="1"/>
  <c r="Y79" i="44"/>
  <c r="Y87" i="44" s="1"/>
  <c r="AG80" i="44"/>
  <c r="AG88" i="44" s="1"/>
  <c r="AI81" i="44"/>
  <c r="AI89" i="44" s="1"/>
  <c r="AA80" i="44"/>
  <c r="AA88" i="44" s="1"/>
  <c r="V79" i="44"/>
  <c r="V87" i="44" s="1"/>
  <c r="AE79" i="44"/>
  <c r="AE87" i="44" s="1"/>
  <c r="AE81" i="44"/>
  <c r="AE89" i="44" s="1"/>
  <c r="AE80" i="44"/>
  <c r="AE88" i="44" s="1"/>
  <c r="W80" i="44"/>
  <c r="W88" i="44" s="1"/>
  <c r="Y80" i="44"/>
  <c r="Y88" i="44" s="1"/>
  <c r="W82" i="44"/>
  <c r="W90" i="44" s="1"/>
  <c r="AM80" i="44"/>
  <c r="AM88" i="44" s="1"/>
  <c r="AM81" i="44"/>
  <c r="AM89" i="44" s="1"/>
  <c r="AM91" i="44" s="1"/>
  <c r="W81" i="44"/>
  <c r="W89" i="44" s="1"/>
  <c r="AA82" i="44"/>
  <c r="AA90" i="44" s="1"/>
  <c r="AA79" i="44"/>
  <c r="AA87" i="44" s="1"/>
  <c r="BB80" i="44"/>
  <c r="BB81" i="44"/>
  <c r="AB80" i="44"/>
  <c r="AB88" i="44" s="1"/>
  <c r="BB79" i="44"/>
  <c r="AB81" i="44"/>
  <c r="AB89" i="44" s="1"/>
  <c r="AB82" i="44"/>
  <c r="AB90" i="44" s="1"/>
  <c r="AP80" i="44"/>
  <c r="AP88" i="44" s="1"/>
  <c r="AP79" i="44"/>
  <c r="AP87" i="44" s="1"/>
  <c r="AP81" i="44"/>
  <c r="AP89" i="44" s="1"/>
  <c r="AV81" i="44"/>
  <c r="AV82" i="44"/>
  <c r="AV79" i="44"/>
  <c r="V80" i="44"/>
  <c r="V88" i="44" s="1"/>
  <c r="V82" i="44"/>
  <c r="V90" i="44" s="1"/>
  <c r="AU80" i="44"/>
  <c r="AJ82" i="44"/>
  <c r="AJ90" i="44" s="1"/>
  <c r="AJ81" i="44"/>
  <c r="AJ89" i="44" s="1"/>
  <c r="AJ79" i="44"/>
  <c r="AJ87" i="44" s="1"/>
  <c r="H75" i="44"/>
  <c r="AU79" i="44"/>
  <c r="AU81" i="44"/>
  <c r="I82" i="44"/>
  <c r="I90" i="44" s="1"/>
  <c r="I80" i="44"/>
  <c r="I88" i="44" s="1"/>
  <c r="I79" i="44"/>
  <c r="I87" i="44" s="1"/>
  <c r="I81" i="44"/>
  <c r="I89" i="44" s="1"/>
  <c r="AG81" i="44"/>
  <c r="AG89" i="44" s="1"/>
  <c r="AG79" i="44"/>
  <c r="AG87" i="44" s="1"/>
  <c r="AI80" i="44"/>
  <c r="AI88" i="44" s="1"/>
  <c r="H43" i="44"/>
  <c r="AI79" i="44"/>
  <c r="AI87" i="44" s="1"/>
  <c r="D101" i="70"/>
  <c r="D171" i="70"/>
  <c r="D15" i="19"/>
  <c r="V21" i="44"/>
  <c r="D140" i="70"/>
  <c r="D173" i="70"/>
  <c r="D17" i="19"/>
  <c r="H14" i="45"/>
  <c r="Z91" i="44"/>
  <c r="M91" i="44"/>
  <c r="AL91" i="44"/>
  <c r="Q91" i="44"/>
  <c r="N91" i="44"/>
  <c r="O91" i="44"/>
  <c r="AD91" i="44"/>
  <c r="AK91" i="44"/>
  <c r="S91" i="44"/>
  <c r="U91" i="44"/>
  <c r="T91" i="44"/>
  <c r="AF91" i="44"/>
  <c r="AN91" i="44"/>
  <c r="Y91" i="44"/>
  <c r="J91" i="44"/>
  <c r="AH91" i="44"/>
  <c r="X91" i="44"/>
  <c r="L91" i="44"/>
  <c r="R91" i="44"/>
  <c r="AO91" i="44"/>
  <c r="K91" i="44"/>
  <c r="AC91" i="44"/>
  <c r="H40" i="44"/>
  <c r="H42" i="44"/>
  <c r="H153" i="44"/>
  <c r="S11" i="45"/>
  <c r="E18" i="61"/>
  <c r="C44" i="70" s="1"/>
  <c r="W91" i="44" l="1"/>
  <c r="I91" i="44"/>
  <c r="AA91" i="44"/>
  <c r="AE91" i="44"/>
  <c r="AB91" i="44"/>
  <c r="AB18" i="45" s="1"/>
  <c r="AG91" i="44"/>
  <c r="AG18" i="45" s="1"/>
  <c r="AP91" i="44"/>
  <c r="V91" i="44"/>
  <c r="V18" i="45" s="1"/>
  <c r="AJ91" i="44"/>
  <c r="AJ18" i="45" s="1"/>
  <c r="H82" i="44"/>
  <c r="D131" i="70" s="1"/>
  <c r="AI91" i="44"/>
  <c r="AI18" i="45" s="1"/>
  <c r="I18" i="45"/>
  <c r="H79" i="44"/>
  <c r="H81" i="44"/>
  <c r="D130" i="70" s="1"/>
  <c r="H80" i="44"/>
  <c r="D129" i="70" s="1"/>
  <c r="I94" i="44"/>
  <c r="D168" i="70"/>
  <c r="D12" i="19"/>
  <c r="D69" i="70"/>
  <c r="W21" i="44"/>
  <c r="J18" i="45"/>
  <c r="Q18" i="45"/>
  <c r="N18" i="45"/>
  <c r="K18" i="45"/>
  <c r="L18" i="45"/>
  <c r="AF18" i="45"/>
  <c r="AK18" i="45"/>
  <c r="S18" i="45"/>
  <c r="Y18" i="45"/>
  <c r="R18" i="45"/>
  <c r="AL18" i="45"/>
  <c r="U18" i="45"/>
  <c r="O18" i="45"/>
  <c r="W18" i="45"/>
  <c r="AH18" i="45"/>
  <c r="AE18" i="45"/>
  <c r="AA18" i="45"/>
  <c r="T18" i="45"/>
  <c r="Z18" i="45"/>
  <c r="X18" i="45"/>
  <c r="AP18" i="45"/>
  <c r="AD18" i="45"/>
  <c r="AO18" i="45"/>
  <c r="AM18" i="45"/>
  <c r="AC18" i="45"/>
  <c r="P18" i="45"/>
  <c r="AN18" i="45"/>
  <c r="M18" i="45"/>
  <c r="E19" i="61"/>
  <c r="C45" i="70" s="1"/>
  <c r="G177" i="46"/>
  <c r="H177" i="46"/>
  <c r="I177" i="46"/>
  <c r="J177" i="46"/>
  <c r="K177" i="46"/>
  <c r="G178" i="46"/>
  <c r="H178" i="46"/>
  <c r="I178" i="46"/>
  <c r="J178" i="46"/>
  <c r="K178" i="46"/>
  <c r="G179" i="46"/>
  <c r="H179" i="46"/>
  <c r="I179" i="46"/>
  <c r="J179" i="46"/>
  <c r="K179" i="46"/>
  <c r="G180" i="46"/>
  <c r="H180" i="46"/>
  <c r="I180" i="46"/>
  <c r="J180" i="46"/>
  <c r="K180" i="46"/>
  <c r="G181" i="46"/>
  <c r="H181" i="46"/>
  <c r="I181" i="46"/>
  <c r="J181" i="46"/>
  <c r="K181" i="46"/>
  <c r="H176" i="46"/>
  <c r="I176" i="46"/>
  <c r="J176" i="46"/>
  <c r="K176" i="46"/>
  <c r="G176" i="46"/>
  <c r="G155" i="46"/>
  <c r="H155" i="46"/>
  <c r="I155" i="46"/>
  <c r="J155" i="46"/>
  <c r="K155" i="46"/>
  <c r="G156" i="46"/>
  <c r="H156" i="46"/>
  <c r="I156" i="46"/>
  <c r="J156" i="46"/>
  <c r="K156" i="46"/>
  <c r="G157" i="46"/>
  <c r="I157" i="46"/>
  <c r="J157" i="46"/>
  <c r="K157" i="46"/>
  <c r="G158" i="46"/>
  <c r="H158" i="46"/>
  <c r="I158" i="46"/>
  <c r="J158" i="46"/>
  <c r="K158" i="46"/>
  <c r="G159" i="46"/>
  <c r="H159" i="46"/>
  <c r="I159" i="46"/>
  <c r="J159" i="46"/>
  <c r="K159" i="46"/>
  <c r="H154" i="46"/>
  <c r="I154" i="46"/>
  <c r="J154" i="46"/>
  <c r="K154" i="46"/>
  <c r="H165" i="46"/>
  <c r="I165" i="46"/>
  <c r="J165" i="46"/>
  <c r="K165" i="46"/>
  <c r="H166" i="46"/>
  <c r="I166" i="46"/>
  <c r="J166" i="46"/>
  <c r="K166" i="46"/>
  <c r="G167" i="46"/>
  <c r="H167" i="46"/>
  <c r="I167" i="46"/>
  <c r="J167" i="46"/>
  <c r="K167" i="46"/>
  <c r="G168" i="46"/>
  <c r="I168" i="46"/>
  <c r="J168" i="46"/>
  <c r="K168" i="46"/>
  <c r="G169" i="46"/>
  <c r="H169" i="46"/>
  <c r="I169" i="46"/>
  <c r="J169" i="46"/>
  <c r="K169" i="46"/>
  <c r="G170" i="46"/>
  <c r="H170" i="46"/>
  <c r="I170" i="46"/>
  <c r="J170" i="46"/>
  <c r="K170" i="46"/>
  <c r="K135" i="46"/>
  <c r="J135" i="46"/>
  <c r="I135" i="46"/>
  <c r="H135" i="46"/>
  <c r="G135" i="46"/>
  <c r="L134" i="46"/>
  <c r="M134" i="46" s="1"/>
  <c r="O134" i="46" s="1"/>
  <c r="L133" i="46"/>
  <c r="M133" i="46" s="1"/>
  <c r="O133" i="46" s="1"/>
  <c r="L132" i="46"/>
  <c r="M132" i="46" s="1"/>
  <c r="O132" i="46" s="1"/>
  <c r="L131" i="46"/>
  <c r="M131" i="46" s="1"/>
  <c r="O131" i="46" s="1"/>
  <c r="L130" i="46"/>
  <c r="M130" i="46" s="1"/>
  <c r="O130" i="46" s="1"/>
  <c r="L129" i="46"/>
  <c r="M129" i="46" s="1"/>
  <c r="O129" i="46" s="1"/>
  <c r="K123" i="46"/>
  <c r="J123" i="46"/>
  <c r="I123" i="46"/>
  <c r="H123" i="46"/>
  <c r="G123" i="46"/>
  <c r="L122" i="46"/>
  <c r="M122" i="46" s="1"/>
  <c r="O122" i="46" s="1"/>
  <c r="L121" i="46"/>
  <c r="M121" i="46" s="1"/>
  <c r="O121" i="46" s="1"/>
  <c r="L120" i="46"/>
  <c r="M120" i="46" s="1"/>
  <c r="O120" i="46" s="1"/>
  <c r="L119" i="46"/>
  <c r="M119" i="46" s="1"/>
  <c r="O119" i="46" s="1"/>
  <c r="L118" i="46"/>
  <c r="M118" i="46" s="1"/>
  <c r="O118" i="46" s="1"/>
  <c r="L117" i="46"/>
  <c r="K112" i="46"/>
  <c r="J112" i="46"/>
  <c r="I112" i="46"/>
  <c r="H112" i="46"/>
  <c r="G112" i="46"/>
  <c r="L111" i="46"/>
  <c r="M111" i="46" s="1"/>
  <c r="O111" i="46" s="1"/>
  <c r="L110" i="46"/>
  <c r="M110" i="46" s="1"/>
  <c r="O110" i="46" s="1"/>
  <c r="L109" i="46"/>
  <c r="M109" i="46" s="1"/>
  <c r="O109" i="46" s="1"/>
  <c r="L108" i="46"/>
  <c r="M108" i="46" s="1"/>
  <c r="O108" i="46" s="1"/>
  <c r="L107" i="46"/>
  <c r="M107" i="46" s="1"/>
  <c r="O107" i="46" s="1"/>
  <c r="L106" i="46"/>
  <c r="K102" i="46"/>
  <c r="J102" i="46"/>
  <c r="I102" i="46"/>
  <c r="H102" i="46"/>
  <c r="G102" i="46"/>
  <c r="L101" i="46"/>
  <c r="M101" i="46" s="1"/>
  <c r="O101" i="46" s="1"/>
  <c r="L100" i="46"/>
  <c r="M100" i="46" s="1"/>
  <c r="O100" i="46" s="1"/>
  <c r="L99" i="46"/>
  <c r="M99" i="46" s="1"/>
  <c r="O99" i="46" s="1"/>
  <c r="L98" i="46"/>
  <c r="M98" i="46" s="1"/>
  <c r="O98" i="46" s="1"/>
  <c r="L97" i="46"/>
  <c r="M97" i="46" s="1"/>
  <c r="O97" i="46" s="1"/>
  <c r="L96" i="46"/>
  <c r="L51" i="46"/>
  <c r="M51" i="46" s="1"/>
  <c r="O51" i="46" s="1"/>
  <c r="L49" i="46"/>
  <c r="M49" i="46" s="1"/>
  <c r="O49" i="46" s="1"/>
  <c r="L48" i="46"/>
  <c r="M48" i="46" s="1"/>
  <c r="O48" i="46" s="1"/>
  <c r="L47" i="46"/>
  <c r="M47" i="46" s="1"/>
  <c r="O47" i="46" s="1"/>
  <c r="K90" i="46"/>
  <c r="J90" i="46"/>
  <c r="I90" i="46"/>
  <c r="H90" i="46"/>
  <c r="G90" i="46"/>
  <c r="L89" i="46"/>
  <c r="M89" i="46" s="1"/>
  <c r="O89" i="46" s="1"/>
  <c r="L88" i="46"/>
  <c r="M88" i="46" s="1"/>
  <c r="O88" i="46" s="1"/>
  <c r="L87" i="46"/>
  <c r="M87" i="46" s="1"/>
  <c r="O87" i="46" s="1"/>
  <c r="L86" i="46"/>
  <c r="M86" i="46" s="1"/>
  <c r="O86" i="46" s="1"/>
  <c r="L85" i="46"/>
  <c r="M85" i="46" s="1"/>
  <c r="O85" i="46" s="1"/>
  <c r="L84" i="46"/>
  <c r="K52" i="46"/>
  <c r="J52" i="46"/>
  <c r="I52" i="46"/>
  <c r="H52" i="46"/>
  <c r="G52" i="46"/>
  <c r="L50" i="46"/>
  <c r="M50" i="46" s="1"/>
  <c r="O50" i="46" s="1"/>
  <c r="L46" i="46"/>
  <c r="K22" i="46"/>
  <c r="J22" i="46"/>
  <c r="I22" i="46"/>
  <c r="H22" i="46"/>
  <c r="G22" i="46"/>
  <c r="L21" i="46"/>
  <c r="M21" i="46" s="1"/>
  <c r="O21" i="46" s="1"/>
  <c r="L20" i="46"/>
  <c r="M20" i="46" s="1"/>
  <c r="O20" i="46" s="1"/>
  <c r="L19" i="46"/>
  <c r="M19" i="46" s="1"/>
  <c r="O19" i="46" s="1"/>
  <c r="L18" i="46"/>
  <c r="M18" i="46" s="1"/>
  <c r="O18" i="46" s="1"/>
  <c r="L17" i="46"/>
  <c r="M17" i="46" s="1"/>
  <c r="O17" i="46" s="1"/>
  <c r="L16" i="46"/>
  <c r="K42" i="46"/>
  <c r="J42" i="46"/>
  <c r="I42" i="46"/>
  <c r="H42" i="46"/>
  <c r="G42" i="46"/>
  <c r="L41" i="46"/>
  <c r="M41" i="46" s="1"/>
  <c r="O41" i="46" s="1"/>
  <c r="L40" i="46"/>
  <c r="M40" i="46" s="1"/>
  <c r="O40" i="46" s="1"/>
  <c r="L39" i="46"/>
  <c r="M39" i="46" s="1"/>
  <c r="O39" i="46" s="1"/>
  <c r="L38" i="46"/>
  <c r="M38" i="46" s="1"/>
  <c r="O38" i="46" s="1"/>
  <c r="L37" i="46"/>
  <c r="M37" i="46" s="1"/>
  <c r="O37" i="46" s="1"/>
  <c r="L36" i="46"/>
  <c r="L31" i="46"/>
  <c r="M31" i="46" s="1"/>
  <c r="O31" i="46" s="1"/>
  <c r="L30" i="46"/>
  <c r="M30" i="46" s="1"/>
  <c r="O30" i="46" s="1"/>
  <c r="L29" i="46"/>
  <c r="M29" i="46" s="1"/>
  <c r="O29" i="46" s="1"/>
  <c r="L28" i="46"/>
  <c r="M28" i="46" s="1"/>
  <c r="O28" i="46" s="1"/>
  <c r="L27" i="46"/>
  <c r="M27" i="46" s="1"/>
  <c r="O27" i="46" s="1"/>
  <c r="L26" i="46"/>
  <c r="M26" i="46" s="1"/>
  <c r="O26" i="46" s="1"/>
  <c r="K32" i="46"/>
  <c r="J32" i="46"/>
  <c r="I32" i="46"/>
  <c r="H32" i="46"/>
  <c r="G32" i="46"/>
  <c r="E25" i="19" l="1"/>
  <c r="D128" i="70"/>
  <c r="D132" i="70" s="1"/>
  <c r="L165" i="46"/>
  <c r="M165" i="46" s="1"/>
  <c r="O165" i="46" s="1"/>
  <c r="L170" i="46"/>
  <c r="M170" i="46" s="1"/>
  <c r="O170" i="46" s="1"/>
  <c r="E20" i="61"/>
  <c r="C46" i="70" s="1"/>
  <c r="L157" i="46"/>
  <c r="M157" i="46" s="1"/>
  <c r="O157" i="46" s="1"/>
  <c r="L180" i="46"/>
  <c r="M180" i="46" s="1"/>
  <c r="O180" i="46" s="1"/>
  <c r="H182" i="46"/>
  <c r="L179" i="46"/>
  <c r="M179" i="46" s="1"/>
  <c r="O179" i="46" s="1"/>
  <c r="K171" i="46"/>
  <c r="L181" i="46"/>
  <c r="M181" i="46" s="1"/>
  <c r="O181" i="46" s="1"/>
  <c r="J182" i="46"/>
  <c r="I182" i="46"/>
  <c r="L177" i="46"/>
  <c r="M177" i="46" s="1"/>
  <c r="O177" i="46" s="1"/>
  <c r="L178" i="46"/>
  <c r="M178" i="46" s="1"/>
  <c r="O178" i="46" s="1"/>
  <c r="L166" i="46"/>
  <c r="M166" i="46" s="1"/>
  <c r="O166" i="46" s="1"/>
  <c r="L176" i="46"/>
  <c r="M176" i="46" s="1"/>
  <c r="O176" i="46" s="1"/>
  <c r="L167" i="46"/>
  <c r="M167" i="46" s="1"/>
  <c r="O167" i="46" s="1"/>
  <c r="K182" i="46"/>
  <c r="G182" i="46"/>
  <c r="L159" i="46"/>
  <c r="K160" i="46"/>
  <c r="I171" i="46"/>
  <c r="L168" i="46"/>
  <c r="M168" i="46" s="1"/>
  <c r="O168" i="46" s="1"/>
  <c r="L169" i="46"/>
  <c r="M169" i="46" s="1"/>
  <c r="O169" i="46" s="1"/>
  <c r="H171" i="46"/>
  <c r="G160" i="46"/>
  <c r="L156" i="46"/>
  <c r="M156" i="46" s="1"/>
  <c r="O156" i="46" s="1"/>
  <c r="J171" i="46"/>
  <c r="H160" i="46"/>
  <c r="J160" i="46"/>
  <c r="L155" i="46"/>
  <c r="M155" i="46" s="1"/>
  <c r="O155" i="46" s="1"/>
  <c r="G171" i="46"/>
  <c r="L158" i="46"/>
  <c r="M158" i="46" s="1"/>
  <c r="O158" i="46" s="1"/>
  <c r="I160" i="46"/>
  <c r="L154" i="46"/>
  <c r="M154" i="46" s="1"/>
  <c r="L135" i="46"/>
  <c r="M135" i="46" s="1"/>
  <c r="O135" i="46" s="1"/>
  <c r="L123" i="46"/>
  <c r="M123" i="46" s="1"/>
  <c r="O123" i="46" s="1"/>
  <c r="M117" i="46"/>
  <c r="O117" i="46" s="1"/>
  <c r="L102" i="46"/>
  <c r="M102" i="46" s="1"/>
  <c r="O102" i="46" s="1"/>
  <c r="L112" i="46"/>
  <c r="M112" i="46" s="1"/>
  <c r="O112" i="46" s="1"/>
  <c r="M106" i="46"/>
  <c r="O106" i="46" s="1"/>
  <c r="M96" i="46"/>
  <c r="O96" i="46" s="1"/>
  <c r="L22" i="46"/>
  <c r="M22" i="46" s="1"/>
  <c r="O22" i="46" s="1"/>
  <c r="L42" i="46"/>
  <c r="M42" i="46" s="1"/>
  <c r="O42" i="46" s="1"/>
  <c r="L90" i="46"/>
  <c r="M90" i="46" s="1"/>
  <c r="O90" i="46" s="1"/>
  <c r="L52" i="46"/>
  <c r="M52" i="46" s="1"/>
  <c r="O52" i="46" s="1"/>
  <c r="M84" i="46"/>
  <c r="O84" i="46" s="1"/>
  <c r="M16" i="46"/>
  <c r="O16" i="46" s="1"/>
  <c r="L32" i="46"/>
  <c r="M32" i="46" s="1"/>
  <c r="O32" i="46" s="1"/>
  <c r="M46" i="46"/>
  <c r="O46" i="46" s="1"/>
  <c r="M36" i="46"/>
  <c r="O36" i="46" s="1"/>
  <c r="M159" i="46" l="1"/>
  <c r="O159" i="46" s="1"/>
  <c r="E21" i="61"/>
  <c r="C47" i="70" s="1"/>
  <c r="L182" i="46"/>
  <c r="M182" i="46" s="1"/>
  <c r="O182" i="46" s="1"/>
  <c r="L171" i="46"/>
  <c r="M171" i="46" s="1"/>
  <c r="O171" i="46" s="1"/>
  <c r="O154" i="46"/>
  <c r="L160" i="46"/>
  <c r="M160" i="46" s="1"/>
  <c r="O160" i="46" s="1"/>
  <c r="G11" i="46"/>
  <c r="E22" i="61" l="1"/>
  <c r="C48" i="70" s="1"/>
  <c r="P139" i="46"/>
  <c r="P142" i="46"/>
  <c r="P144" i="46"/>
  <c r="P140" i="46"/>
  <c r="P141" i="46"/>
  <c r="P143" i="46"/>
  <c r="P145" i="46"/>
  <c r="P129" i="46"/>
  <c r="P181" i="46"/>
  <c r="P180" i="46"/>
  <c r="P179" i="46"/>
  <c r="P176" i="46"/>
  <c r="P182" i="46"/>
  <c r="P177" i="46"/>
  <c r="P178" i="46"/>
  <c r="P165" i="46"/>
  <c r="P171" i="46"/>
  <c r="P160" i="46"/>
  <c r="P154" i="46"/>
  <c r="P159" i="46"/>
  <c r="P168" i="46"/>
  <c r="P166" i="46"/>
  <c r="P156" i="46"/>
  <c r="P157" i="46"/>
  <c r="P155" i="46"/>
  <c r="P167" i="46"/>
  <c r="P169" i="46"/>
  <c r="P170" i="46"/>
  <c r="P158" i="46"/>
  <c r="P102" i="46"/>
  <c r="P118" i="46"/>
  <c r="P120" i="46"/>
  <c r="P133" i="46"/>
  <c r="P134" i="46"/>
  <c r="P132" i="46"/>
  <c r="P131" i="46"/>
  <c r="P121" i="46"/>
  <c r="P130" i="46"/>
  <c r="P122" i="46"/>
  <c r="P119" i="46"/>
  <c r="P135" i="46"/>
  <c r="P117" i="46"/>
  <c r="P123" i="46"/>
  <c r="P101" i="46"/>
  <c r="P108" i="46"/>
  <c r="P98" i="46"/>
  <c r="P111" i="46"/>
  <c r="P107" i="46"/>
  <c r="P109" i="46"/>
  <c r="P97" i="46"/>
  <c r="P110" i="46"/>
  <c r="P99" i="46"/>
  <c r="P100" i="46"/>
  <c r="P112" i="46"/>
  <c r="P106" i="46"/>
  <c r="P96" i="46"/>
  <c r="P46" i="46"/>
  <c r="P36" i="46"/>
  <c r="P90" i="46"/>
  <c r="P42" i="46"/>
  <c r="P52" i="46"/>
  <c r="P84" i="46"/>
  <c r="P86" i="46"/>
  <c r="P40" i="46"/>
  <c r="P41" i="46"/>
  <c r="P47" i="46"/>
  <c r="P50" i="46"/>
  <c r="P37" i="46"/>
  <c r="P48" i="46"/>
  <c r="P26" i="46"/>
  <c r="P38" i="46"/>
  <c r="P39" i="46"/>
  <c r="P89" i="46"/>
  <c r="P49" i="46"/>
  <c r="P87" i="46"/>
  <c r="P88" i="46"/>
  <c r="P85" i="46"/>
  <c r="P51" i="46"/>
  <c r="P16" i="46"/>
  <c r="P17" i="46"/>
  <c r="P31" i="46"/>
  <c r="P18" i="46"/>
  <c r="P30" i="46"/>
  <c r="P27" i="46"/>
  <c r="P28" i="46"/>
  <c r="P19" i="46"/>
  <c r="P29" i="46"/>
  <c r="P20" i="46"/>
  <c r="P21" i="46"/>
  <c r="P32" i="46"/>
  <c r="P22" i="46"/>
  <c r="E23" i="61" l="1"/>
  <c r="C49" i="70" s="1"/>
  <c r="E24" i="61" l="1"/>
  <c r="C50" i="70" s="1"/>
  <c r="E25" i="61" l="1"/>
  <c r="C51" i="70" s="1"/>
  <c r="E26" i="61" l="1"/>
  <c r="C52" i="70" s="1"/>
  <c r="E27" i="61" l="1"/>
  <c r="C53" i="70" s="1"/>
  <c r="E28" i="61" l="1"/>
  <c r="C54" i="70" s="1"/>
  <c r="E29" i="61" l="1"/>
  <c r="C55" i="70" s="1"/>
  <c r="E30" i="61" l="1"/>
  <c r="C56" i="70" s="1"/>
  <c r="G51" i="44"/>
  <c r="X21" i="44" l="1"/>
  <c r="X23" i="44" s="1"/>
  <c r="X11" i="45" s="1"/>
  <c r="AO21" i="44"/>
  <c r="AM21" i="44"/>
  <c r="AM23" i="44" s="1"/>
  <c r="Y21" i="44"/>
  <c r="Y23" i="44" s="1"/>
  <c r="Y11" i="45" s="1"/>
  <c r="AW21" i="44"/>
  <c r="AW23" i="44" s="1"/>
  <c r="I21" i="44"/>
  <c r="AG21" i="44"/>
  <c r="AG23" i="44" s="1"/>
  <c r="AU21" i="44"/>
  <c r="AU23" i="44" s="1"/>
  <c r="BB21" i="44"/>
  <c r="BB23" i="44" s="1"/>
  <c r="M21" i="44"/>
  <c r="M23" i="44" s="1"/>
  <c r="AA21" i="44"/>
  <c r="AA23" i="44" s="1"/>
  <c r="AH21" i="44"/>
  <c r="AH23" i="44" s="1"/>
  <c r="AV21" i="44"/>
  <c r="AV23" i="44" s="1"/>
  <c r="AV11" i="45" s="1"/>
  <c r="AK21" i="44"/>
  <c r="AK23" i="44" s="1"/>
  <c r="AT21" i="44"/>
  <c r="AT23" i="44" s="1"/>
  <c r="AB21" i="44"/>
  <c r="AB23" i="44" s="1"/>
  <c r="AB11" i="45" s="1"/>
  <c r="AD21" i="44"/>
  <c r="AD23" i="44" s="1"/>
  <c r="AD11" i="45" s="1"/>
  <c r="AS21" i="44"/>
  <c r="N21" i="44"/>
  <c r="N23" i="44" s="1"/>
  <c r="AP21" i="44"/>
  <c r="AP23" i="44" s="1"/>
  <c r="AP11" i="45" s="1"/>
  <c r="L21" i="44"/>
  <c r="L23" i="44" s="1"/>
  <c r="J21" i="44"/>
  <c r="J23" i="44" s="1"/>
  <c r="AZ21" i="44"/>
  <c r="AZ23" i="44" s="1"/>
  <c r="AZ11" i="45" s="1"/>
  <c r="O21" i="44"/>
  <c r="O23" i="44" s="1"/>
  <c r="O11" i="45" s="1"/>
  <c r="AN21" i="44"/>
  <c r="AN23" i="44" s="1"/>
  <c r="AN11" i="45" s="1"/>
  <c r="Z21" i="44"/>
  <c r="AY21" i="44"/>
  <c r="AY23" i="44" s="1"/>
  <c r="AL21" i="44"/>
  <c r="AL23" i="44" s="1"/>
  <c r="AE21" i="44"/>
  <c r="AE23" i="44" s="1"/>
  <c r="AE11" i="45" s="1"/>
  <c r="AX21" i="44"/>
  <c r="AX23" i="44" s="1"/>
  <c r="AC21" i="44"/>
  <c r="AC23" i="44" s="1"/>
  <c r="AC11" i="45" s="1"/>
  <c r="AQ21" i="44"/>
  <c r="AQ23" i="44" s="1"/>
  <c r="BA21" i="44"/>
  <c r="BA23" i="44" s="1"/>
  <c r="AI21" i="44"/>
  <c r="AI23" i="44" s="1"/>
  <c r="AJ21" i="44"/>
  <c r="AJ23" i="44" s="1"/>
  <c r="AF21" i="44"/>
  <c r="AF23" i="44" s="1"/>
  <c r="AF11" i="45" s="1"/>
  <c r="K21" i="44"/>
  <c r="K23" i="44" s="1"/>
  <c r="AR21" i="44"/>
  <c r="AR23" i="44" s="1"/>
  <c r="AR11" i="45" s="1"/>
  <c r="P23" i="44"/>
  <c r="P11" i="45" s="1"/>
  <c r="I55" i="44"/>
  <c r="I16" i="45" s="1"/>
  <c r="M55" i="44"/>
  <c r="M16" i="45" s="1"/>
  <c r="AG55" i="44"/>
  <c r="AG16" i="45" s="1"/>
  <c r="R55" i="44"/>
  <c r="R16" i="45" s="1"/>
  <c r="N55" i="44"/>
  <c r="N16" i="45" s="1"/>
  <c r="AN55" i="44"/>
  <c r="AN16" i="45" s="1"/>
  <c r="AM55" i="44"/>
  <c r="AM16" i="45" s="1"/>
  <c r="L55" i="44"/>
  <c r="L16" i="45" s="1"/>
  <c r="AD55" i="44"/>
  <c r="AD16" i="45" s="1"/>
  <c r="AY55" i="44"/>
  <c r="AY16" i="45" s="1"/>
  <c r="AV55" i="44"/>
  <c r="AV16" i="45" s="1"/>
  <c r="AI55" i="44"/>
  <c r="AI16" i="45" s="1"/>
  <c r="AT55" i="44"/>
  <c r="AT16" i="45" s="1"/>
  <c r="AS55" i="44"/>
  <c r="AS16" i="45" s="1"/>
  <c r="AW55" i="44"/>
  <c r="AW16" i="45" s="1"/>
  <c r="AR55" i="44"/>
  <c r="AR16" i="45" s="1"/>
  <c r="AA55" i="44"/>
  <c r="AA16" i="45" s="1"/>
  <c r="J55" i="44"/>
  <c r="J16" i="45" s="1"/>
  <c r="AH55" i="44"/>
  <c r="AH16" i="45" s="1"/>
  <c r="S55" i="44"/>
  <c r="S16" i="45" s="1"/>
  <c r="X55" i="44"/>
  <c r="X16" i="45" s="1"/>
  <c r="AX55" i="44"/>
  <c r="AX16" i="45" s="1"/>
  <c r="AZ55" i="44"/>
  <c r="AZ16" i="45" s="1"/>
  <c r="BA55" i="44"/>
  <c r="BA16" i="45" s="1"/>
  <c r="K55" i="44"/>
  <c r="K16" i="45" s="1"/>
  <c r="T55" i="44"/>
  <c r="T16" i="45" s="1"/>
  <c r="AC55" i="44"/>
  <c r="AC16" i="45" s="1"/>
  <c r="V55" i="44"/>
  <c r="V16" i="45" s="1"/>
  <c r="U55" i="44"/>
  <c r="U16" i="45" s="1"/>
  <c r="O55" i="44"/>
  <c r="O16" i="45" s="1"/>
  <c r="AO55" i="44"/>
  <c r="AO16" i="45" s="1"/>
  <c r="P55" i="44"/>
  <c r="P16" i="45" s="1"/>
  <c r="AK55" i="44"/>
  <c r="AK16" i="45" s="1"/>
  <c r="AQ55" i="44"/>
  <c r="AQ16" i="45" s="1"/>
  <c r="W55" i="44"/>
  <c r="W16" i="45" s="1"/>
  <c r="BB55" i="44"/>
  <c r="BB16" i="45" s="1"/>
  <c r="Y55" i="44"/>
  <c r="Y16" i="45" s="1"/>
  <c r="AF55" i="44"/>
  <c r="AF16" i="45" s="1"/>
  <c r="AU55" i="44"/>
  <c r="AU16" i="45" s="1"/>
  <c r="AJ55" i="44"/>
  <c r="AJ16" i="45" s="1"/>
  <c r="AB55" i="44"/>
  <c r="AB16" i="45" s="1"/>
  <c r="AE55" i="44"/>
  <c r="AE16" i="45" s="1"/>
  <c r="AL55" i="44"/>
  <c r="AL16" i="45" s="1"/>
  <c r="Z55" i="44"/>
  <c r="Z16" i="45" s="1"/>
  <c r="Q55" i="44"/>
  <c r="Q16" i="45" s="1"/>
  <c r="AP55" i="44"/>
  <c r="AP16" i="45" s="1"/>
  <c r="Z23" i="44"/>
  <c r="Z11" i="45" s="1"/>
  <c r="W23" i="44"/>
  <c r="W11" i="45" s="1"/>
  <c r="U23" i="44"/>
  <c r="U11" i="45" s="1"/>
  <c r="AS23" i="44"/>
  <c r="T23" i="44"/>
  <c r="T11" i="45" s="1"/>
  <c r="V23" i="44"/>
  <c r="V11" i="45" s="1"/>
  <c r="AO23" i="44"/>
  <c r="I15" i="45"/>
  <c r="K15" i="45"/>
  <c r="V15" i="45"/>
  <c r="AN15" i="45"/>
  <c r="AY15" i="45"/>
  <c r="W15" i="45"/>
  <c r="S15" i="45"/>
  <c r="X15" i="45"/>
  <c r="AD15" i="45"/>
  <c r="AE15" i="45"/>
  <c r="AO15" i="45"/>
  <c r="AX15" i="45"/>
  <c r="O15" i="45"/>
  <c r="Q15" i="45"/>
  <c r="AQ15" i="45"/>
  <c r="L15" i="45"/>
  <c r="AI15" i="45"/>
  <c r="AC15" i="45"/>
  <c r="BA15" i="45"/>
  <c r="AZ15" i="45"/>
  <c r="AB15" i="45"/>
  <c r="AG15" i="45"/>
  <c r="AJ15" i="45"/>
  <c r="AR15" i="45"/>
  <c r="AT15" i="45"/>
  <c r="AV15" i="45"/>
  <c r="Z15" i="45"/>
  <c r="R15" i="45"/>
  <c r="AP15" i="45"/>
  <c r="M15" i="45"/>
  <c r="AL15" i="45"/>
  <c r="U15" i="45"/>
  <c r="Y15" i="45"/>
  <c r="AM15" i="45"/>
  <c r="P15" i="45"/>
  <c r="AF15" i="45"/>
  <c r="AU15" i="45"/>
  <c r="AS15" i="45"/>
  <c r="AH15" i="45"/>
  <c r="J15" i="45"/>
  <c r="AK15" i="45"/>
  <c r="AA15" i="45"/>
  <c r="BB15" i="45"/>
  <c r="N15" i="45"/>
  <c r="T15" i="45"/>
  <c r="AW15" i="45"/>
  <c r="F31" i="61"/>
  <c r="E57" i="70" l="1"/>
  <c r="H31" i="61"/>
  <c r="S21" i="45"/>
  <c r="R21" i="45"/>
  <c r="AP21" i="45"/>
  <c r="Y21" i="45"/>
  <c r="U21" i="45"/>
  <c r="AF21" i="45"/>
  <c r="AN21" i="45"/>
  <c r="AC21" i="45"/>
  <c r="AB21" i="45"/>
  <c r="W21" i="45"/>
  <c r="T21" i="45"/>
  <c r="Z21" i="45"/>
  <c r="X21" i="45"/>
  <c r="V21" i="45"/>
  <c r="AE21" i="45"/>
  <c r="AD21" i="45"/>
  <c r="P21" i="45"/>
  <c r="Q21" i="45"/>
  <c r="O21" i="45"/>
  <c r="I23" i="44"/>
  <c r="H23" i="44" s="1"/>
  <c r="H21" i="44"/>
  <c r="H16" i="45"/>
  <c r="H15" i="45"/>
  <c r="BB11" i="45"/>
  <c r="AW11" i="45"/>
  <c r="AS11" i="45"/>
  <c r="AH11" i="45"/>
  <c r="AH21" i="45" s="1"/>
  <c r="N11" i="45"/>
  <c r="N21" i="45" s="1"/>
  <c r="AK11" i="45"/>
  <c r="AK21" i="45" s="1"/>
  <c r="AX11" i="45"/>
  <c r="M11" i="45"/>
  <c r="M21" i="45" s="1"/>
  <c r="AI11" i="45"/>
  <c r="AI21" i="45" s="1"/>
  <c r="AJ11" i="45"/>
  <c r="AJ21" i="45" s="1"/>
  <c r="AM11" i="45"/>
  <c r="AM21" i="45" s="1"/>
  <c r="AT11" i="45"/>
  <c r="AG11" i="45"/>
  <c r="AG21" i="45" s="1"/>
  <c r="AO11" i="45"/>
  <c r="AO21" i="45" s="1"/>
  <c r="BA11" i="45"/>
  <c r="J11" i="45"/>
  <c r="J21" i="45" s="1"/>
  <c r="K11" i="45"/>
  <c r="K21" i="45" s="1"/>
  <c r="AQ11" i="45"/>
  <c r="AY11" i="45"/>
  <c r="L11" i="45"/>
  <c r="L21" i="45" s="1"/>
  <c r="AL11" i="45"/>
  <c r="AL21" i="45" s="1"/>
  <c r="AU11" i="45"/>
  <c r="D13" i="19" l="1"/>
  <c r="D169" i="70"/>
  <c r="D70" i="70"/>
  <c r="D71" i="70" s="1"/>
  <c r="D14" i="19"/>
  <c r="D118" i="70"/>
  <c r="D170" i="70"/>
  <c r="F57" i="70"/>
  <c r="F32" i="70"/>
  <c r="I11" i="45"/>
  <c r="I21" i="45" s="1"/>
  <c r="AA11" i="45"/>
  <c r="AA21" i="45" s="1"/>
  <c r="AH48" i="45" l="1"/>
  <c r="L48" i="45"/>
  <c r="J48" i="45"/>
  <c r="Q48" i="45"/>
  <c r="X48" i="45"/>
  <c r="W48" i="45"/>
  <c r="S48" i="45"/>
  <c r="P48" i="45"/>
  <c r="K48" i="45"/>
  <c r="T48" i="45"/>
  <c r="Y48" i="45"/>
  <c r="O48" i="45"/>
  <c r="I48" i="45"/>
  <c r="N48" i="45"/>
  <c r="U48" i="45"/>
  <c r="R48" i="45"/>
  <c r="M48" i="45"/>
  <c r="Z48" i="45"/>
  <c r="V48" i="45"/>
  <c r="AN48" i="45"/>
  <c r="AL48" i="45"/>
  <c r="AM48" i="45"/>
  <c r="AD48" i="45"/>
  <c r="AI48" i="45"/>
  <c r="AJ48" i="45"/>
  <c r="AB48" i="45"/>
  <c r="AO48" i="45"/>
  <c r="AF48" i="45" l="1"/>
  <c r="AP48" i="45"/>
  <c r="AE48" i="45"/>
  <c r="AG48" i="45"/>
  <c r="AC48" i="45"/>
  <c r="AK48" i="45"/>
  <c r="AA48" i="45"/>
  <c r="F59" i="46" l="1"/>
  <c r="H55" i="46" l="1"/>
  <c r="H54" i="46" l="1"/>
  <c r="F8" i="44" l="1"/>
  <c r="G37" i="43"/>
  <c r="E34" i="43"/>
  <c r="G38" i="43" l="1"/>
  <c r="AQ90" i="44"/>
  <c r="R4" i="44"/>
  <c r="R118" i="44" s="1"/>
  <c r="J5" i="44"/>
  <c r="J94" i="44" s="1"/>
  <c r="V5" i="44"/>
  <c r="V94" i="44" s="1"/>
  <c r="AH5" i="44"/>
  <c r="AH94" i="44" s="1"/>
  <c r="K5" i="44"/>
  <c r="K94" i="44" s="1"/>
  <c r="W5" i="44"/>
  <c r="W94" i="44" s="1"/>
  <c r="AI5" i="44"/>
  <c r="AI94" i="44" s="1"/>
  <c r="L5" i="44"/>
  <c r="L94" i="44" s="1"/>
  <c r="X5" i="44"/>
  <c r="X94" i="44" s="1"/>
  <c r="AJ5" i="44"/>
  <c r="AJ94" i="44" s="1"/>
  <c r="M5" i="44"/>
  <c r="M94" i="44" s="1"/>
  <c r="Y5" i="44"/>
  <c r="Y94" i="44" s="1"/>
  <c r="AK5" i="44"/>
  <c r="AK94" i="44" s="1"/>
  <c r="R5" i="44"/>
  <c r="R94" i="44" s="1"/>
  <c r="AL5" i="44"/>
  <c r="AL94" i="44" s="1"/>
  <c r="AX5" i="44"/>
  <c r="BB5" i="44"/>
  <c r="AA5" i="44"/>
  <c r="AA94" i="44" s="1"/>
  <c r="S5" i="44"/>
  <c r="S94" i="44" s="1"/>
  <c r="AM5" i="44"/>
  <c r="AM94" i="44" s="1"/>
  <c r="AY5" i="44"/>
  <c r="Z5" i="44"/>
  <c r="Z94" i="44" s="1"/>
  <c r="AQ5" i="44"/>
  <c r="T5" i="44"/>
  <c r="T94" i="44" s="1"/>
  <c r="AN5" i="44"/>
  <c r="AN94" i="44" s="1"/>
  <c r="AZ5" i="44"/>
  <c r="U5" i="44"/>
  <c r="U94" i="44" s="1"/>
  <c r="AO5" i="44"/>
  <c r="AO94" i="44" s="1"/>
  <c r="BA5" i="44"/>
  <c r="AP5" i="44"/>
  <c r="AP94" i="44" s="1"/>
  <c r="N5" i="44"/>
  <c r="N94" i="44" s="1"/>
  <c r="AT5" i="44"/>
  <c r="AC5" i="44"/>
  <c r="AC94" i="44" s="1"/>
  <c r="AD5" i="44"/>
  <c r="AD94" i="44" s="1"/>
  <c r="O5" i="44"/>
  <c r="O94" i="44" s="1"/>
  <c r="AU5" i="44"/>
  <c r="AR5" i="44"/>
  <c r="P5" i="44"/>
  <c r="P94" i="44" s="1"/>
  <c r="AV5" i="44"/>
  <c r="AF5" i="44"/>
  <c r="AF94" i="44" s="1"/>
  <c r="AS5" i="44"/>
  <c r="Q5" i="44"/>
  <c r="Q94" i="44" s="1"/>
  <c r="AW5" i="44"/>
  <c r="AB5" i="44"/>
  <c r="AB94" i="44" s="1"/>
  <c r="AE5" i="44"/>
  <c r="AE94" i="44" s="1"/>
  <c r="AG5" i="44"/>
  <c r="AG94" i="44" s="1"/>
  <c r="K4" i="44"/>
  <c r="Q4" i="44"/>
  <c r="E35" i="43"/>
  <c r="E36" i="43" s="1"/>
  <c r="E37" i="43" s="1"/>
  <c r="E38" i="43" s="1"/>
  <c r="E39" i="43" s="1"/>
  <c r="E40" i="43" s="1"/>
  <c r="E41" i="43" s="1"/>
  <c r="E42" i="43" s="1"/>
  <c r="E43" i="43" s="1"/>
  <c r="E44" i="43" s="1"/>
  <c r="E45" i="43" s="1"/>
  <c r="E46" i="43" s="1"/>
  <c r="E47" i="43" s="1"/>
  <c r="E48" i="43" s="1"/>
  <c r="E49" i="43" s="1"/>
  <c r="E50" i="43" s="1"/>
  <c r="AU4" i="44"/>
  <c r="AM4" i="44"/>
  <c r="AE4" i="44"/>
  <c r="W4" i="44"/>
  <c r="O4" i="44"/>
  <c r="BB4" i="44"/>
  <c r="AT4" i="44"/>
  <c r="AL4" i="44"/>
  <c r="AD4" i="44"/>
  <c r="V4" i="44"/>
  <c r="N4" i="44"/>
  <c r="BA4" i="44"/>
  <c r="AS4" i="44"/>
  <c r="AK4" i="44"/>
  <c r="AC4" i="44"/>
  <c r="U4" i="44"/>
  <c r="M4" i="44"/>
  <c r="AZ4" i="44"/>
  <c r="AR4" i="44"/>
  <c r="AJ4" i="44"/>
  <c r="AB4" i="44"/>
  <c r="T4" i="44"/>
  <c r="L4" i="44"/>
  <c r="AY4" i="44"/>
  <c r="AQ4" i="44"/>
  <c r="AI4" i="44"/>
  <c r="AA4" i="44"/>
  <c r="S4" i="44"/>
  <c r="AX4" i="44"/>
  <c r="AP4" i="44"/>
  <c r="AH4" i="44"/>
  <c r="Z4" i="44"/>
  <c r="J4" i="44"/>
  <c r="AW4" i="44"/>
  <c r="AO4" i="44"/>
  <c r="AG4" i="44"/>
  <c r="Y4" i="44"/>
  <c r="I4" i="44"/>
  <c r="I189" i="44" s="1"/>
  <c r="I32" i="45" s="1"/>
  <c r="AV4" i="44"/>
  <c r="AN4" i="44"/>
  <c r="AF4" i="44"/>
  <c r="X4" i="44"/>
  <c r="P4" i="44"/>
  <c r="R109" i="44" l="1"/>
  <c r="R154" i="44"/>
  <c r="R24" i="44"/>
  <c r="G39" i="43"/>
  <c r="AR90" i="44"/>
  <c r="AR97" i="44" s="1"/>
  <c r="AN189" i="44"/>
  <c r="AN32" i="45" s="1"/>
  <c r="S189" i="44"/>
  <c r="S32" i="45" s="1"/>
  <c r="U189" i="44"/>
  <c r="U32" i="45" s="1"/>
  <c r="W189" i="44"/>
  <c r="W32" i="45" s="1"/>
  <c r="AV189" i="44"/>
  <c r="AV32" i="45" s="1"/>
  <c r="AA189" i="44"/>
  <c r="AA32" i="45" s="1"/>
  <c r="AC189" i="44"/>
  <c r="AC32" i="45" s="1"/>
  <c r="AE189" i="44"/>
  <c r="AE32" i="45" s="1"/>
  <c r="AS189" i="44"/>
  <c r="AS32" i="45" s="1"/>
  <c r="L189" i="44"/>
  <c r="L32" i="45" s="1"/>
  <c r="J189" i="44"/>
  <c r="J32" i="45" s="1"/>
  <c r="AB189" i="44"/>
  <c r="AB32" i="45" s="1"/>
  <c r="AD189" i="44"/>
  <c r="AD32" i="45" s="1"/>
  <c r="Y189" i="44"/>
  <c r="Y32" i="45" s="1"/>
  <c r="BA189" i="44"/>
  <c r="BA32" i="45" s="1"/>
  <c r="AO189" i="44"/>
  <c r="AO32" i="45" s="1"/>
  <c r="AL189" i="44"/>
  <c r="AL32" i="45" s="1"/>
  <c r="Q189" i="44"/>
  <c r="Q32" i="45" s="1"/>
  <c r="AM189" i="44"/>
  <c r="AM32" i="45" s="1"/>
  <c r="AQ189" i="44"/>
  <c r="AQ32" i="45" s="1"/>
  <c r="T189" i="44"/>
  <c r="T32" i="45" s="1"/>
  <c r="AR189" i="44"/>
  <c r="AR32" i="45" s="1"/>
  <c r="AT189" i="44"/>
  <c r="AT32" i="45" s="1"/>
  <c r="K189" i="44"/>
  <c r="K32" i="45" s="1"/>
  <c r="AI189" i="44"/>
  <c r="AI32" i="45" s="1"/>
  <c r="AG189" i="44"/>
  <c r="AG32" i="45" s="1"/>
  <c r="N189" i="44"/>
  <c r="N32" i="45" s="1"/>
  <c r="AW189" i="44"/>
  <c r="AW32" i="45" s="1"/>
  <c r="V189" i="44"/>
  <c r="V32" i="45" s="1"/>
  <c r="Z189" i="44"/>
  <c r="Z32" i="45" s="1"/>
  <c r="P189" i="44"/>
  <c r="P32" i="45" s="1"/>
  <c r="X189" i="44"/>
  <c r="X32" i="45" s="1"/>
  <c r="AZ189" i="44"/>
  <c r="AZ32" i="45" s="1"/>
  <c r="BB189" i="44"/>
  <c r="BB32" i="45" s="1"/>
  <c r="AK189" i="44"/>
  <c r="AK32" i="45" s="1"/>
  <c r="AU189" i="44"/>
  <c r="AU32" i="45" s="1"/>
  <c r="AY189" i="44"/>
  <c r="AY32" i="45" s="1"/>
  <c r="AJ189" i="44"/>
  <c r="AJ32" i="45" s="1"/>
  <c r="AH189" i="44"/>
  <c r="AH32" i="45" s="1"/>
  <c r="AP189" i="44"/>
  <c r="AP32" i="45" s="1"/>
  <c r="AF189" i="44"/>
  <c r="AF32" i="45" s="1"/>
  <c r="AX189" i="44"/>
  <c r="AX32" i="45" s="1"/>
  <c r="M189" i="44"/>
  <c r="M32" i="45" s="1"/>
  <c r="O189" i="44"/>
  <c r="O32" i="45" s="1"/>
  <c r="R189" i="44"/>
  <c r="R32" i="45" s="1"/>
  <c r="U96" i="44"/>
  <c r="U95" i="44"/>
  <c r="U97" i="44"/>
  <c r="AC97" i="44"/>
  <c r="AC96" i="44"/>
  <c r="AC95" i="44"/>
  <c r="I46" i="44"/>
  <c r="I96" i="44"/>
  <c r="I95" i="44"/>
  <c r="I97" i="44"/>
  <c r="AG95" i="44"/>
  <c r="AG97" i="44"/>
  <c r="AG96" i="44"/>
  <c r="N95" i="44"/>
  <c r="N97" i="44"/>
  <c r="N96" i="44"/>
  <c r="V97" i="44"/>
  <c r="V96" i="44"/>
  <c r="V95" i="44"/>
  <c r="AD95" i="44"/>
  <c r="AD97" i="44"/>
  <c r="AD96" i="44"/>
  <c r="Z96" i="44"/>
  <c r="Z95" i="44"/>
  <c r="Z97" i="44"/>
  <c r="Q97" i="44"/>
  <c r="Q95" i="44"/>
  <c r="Q96" i="44"/>
  <c r="S97" i="44"/>
  <c r="S95" i="44"/>
  <c r="S96" i="44"/>
  <c r="AE97" i="44"/>
  <c r="AE96" i="44"/>
  <c r="AE95" i="44"/>
  <c r="AK97" i="44"/>
  <c r="AK96" i="44"/>
  <c r="AK95" i="44"/>
  <c r="Y96" i="44"/>
  <c r="Y97" i="44"/>
  <c r="Y95" i="44"/>
  <c r="L95" i="44"/>
  <c r="L97" i="44"/>
  <c r="L96" i="44"/>
  <c r="J95" i="44"/>
  <c r="J97" i="44"/>
  <c r="J96" i="44"/>
  <c r="AL96" i="44"/>
  <c r="AL95" i="44"/>
  <c r="AL97" i="44"/>
  <c r="P96" i="44"/>
  <c r="P97" i="44"/>
  <c r="P95" i="44"/>
  <c r="P98" i="44" s="1"/>
  <c r="X97" i="44"/>
  <c r="X96" i="44"/>
  <c r="X95" i="44"/>
  <c r="AP96" i="44"/>
  <c r="AP97" i="44"/>
  <c r="AP95" i="44"/>
  <c r="AN95" i="44"/>
  <c r="AN96" i="44"/>
  <c r="AN97" i="44"/>
  <c r="W95" i="44"/>
  <c r="W97" i="44"/>
  <c r="W96" i="44"/>
  <c r="AA95" i="44"/>
  <c r="AA96" i="44"/>
  <c r="AA97" i="44"/>
  <c r="AI96" i="44"/>
  <c r="AI95" i="44"/>
  <c r="AI97" i="44"/>
  <c r="AM95" i="44"/>
  <c r="AM97" i="44"/>
  <c r="AM96" i="44"/>
  <c r="AQ97" i="44"/>
  <c r="AO95" i="44"/>
  <c r="AO97" i="44"/>
  <c r="AO96" i="44"/>
  <c r="T97" i="44"/>
  <c r="T95" i="44"/>
  <c r="T96" i="44"/>
  <c r="AB96" i="44"/>
  <c r="AB95" i="44"/>
  <c r="AB97" i="44"/>
  <c r="AJ95" i="44"/>
  <c r="AJ97" i="44"/>
  <c r="AJ96" i="44"/>
  <c r="AH96" i="44"/>
  <c r="AH97" i="44"/>
  <c r="AH95" i="44"/>
  <c r="K95" i="44"/>
  <c r="K97" i="44"/>
  <c r="K96" i="44"/>
  <c r="AF97" i="44"/>
  <c r="AF96" i="44"/>
  <c r="AF95" i="44"/>
  <c r="M96" i="44"/>
  <c r="M97" i="44"/>
  <c r="M95" i="44"/>
  <c r="O96" i="44"/>
  <c r="O97" i="44"/>
  <c r="O95" i="44"/>
  <c r="R95" i="44"/>
  <c r="R96" i="44"/>
  <c r="R97" i="44"/>
  <c r="I24" i="44"/>
  <c r="AI24" i="44"/>
  <c r="AI154" i="44"/>
  <c r="AQ24" i="44"/>
  <c r="AQ154" i="44"/>
  <c r="AS24" i="44"/>
  <c r="AS154" i="44"/>
  <c r="AU24" i="44"/>
  <c r="AU154" i="44"/>
  <c r="Y24" i="44"/>
  <c r="Y154" i="44"/>
  <c r="Q24" i="44"/>
  <c r="Q154" i="44"/>
  <c r="AY24" i="44"/>
  <c r="AY154" i="44"/>
  <c r="T24" i="44"/>
  <c r="T154" i="44"/>
  <c r="K24" i="44"/>
  <c r="K154" i="44"/>
  <c r="AK24" i="44"/>
  <c r="AK154" i="44"/>
  <c r="AO24" i="44"/>
  <c r="AO154" i="44"/>
  <c r="V24" i="44"/>
  <c r="V154" i="44"/>
  <c r="P24" i="44"/>
  <c r="P154" i="44"/>
  <c r="BB24" i="44"/>
  <c r="BB154" i="44"/>
  <c r="AG24" i="44"/>
  <c r="AG154" i="44"/>
  <c r="L24" i="44"/>
  <c r="L154" i="44"/>
  <c r="AB24" i="44"/>
  <c r="AB154" i="44"/>
  <c r="Z24" i="44"/>
  <c r="Z154" i="44"/>
  <c r="AH24" i="44"/>
  <c r="AH154" i="44"/>
  <c r="X24" i="44"/>
  <c r="X154" i="44"/>
  <c r="AF24" i="44"/>
  <c r="AF154" i="44"/>
  <c r="M24" i="44"/>
  <c r="M154" i="44"/>
  <c r="O24" i="44"/>
  <c r="O154" i="44"/>
  <c r="BA24" i="44"/>
  <c r="BA154" i="44"/>
  <c r="AW24" i="44"/>
  <c r="AW154" i="44"/>
  <c r="J24" i="44"/>
  <c r="J154" i="44"/>
  <c r="AJ24" i="44"/>
  <c r="AJ154" i="44"/>
  <c r="AR24" i="44"/>
  <c r="AR154" i="44"/>
  <c r="AP24" i="44"/>
  <c r="AP154" i="44"/>
  <c r="AN24" i="44"/>
  <c r="AN154" i="44"/>
  <c r="W24" i="44"/>
  <c r="W154" i="44"/>
  <c r="AM24" i="44"/>
  <c r="AM154" i="44"/>
  <c r="N24" i="44"/>
  <c r="N154" i="44"/>
  <c r="AD24" i="44"/>
  <c r="AD154" i="44"/>
  <c r="AL24" i="44"/>
  <c r="AL154" i="44"/>
  <c r="AT24" i="44"/>
  <c r="AT154" i="44"/>
  <c r="AZ24" i="44"/>
  <c r="AZ154" i="44"/>
  <c r="AX24" i="44"/>
  <c r="AX154" i="44"/>
  <c r="S24" i="44"/>
  <c r="S154" i="44"/>
  <c r="U24" i="44"/>
  <c r="U154" i="44"/>
  <c r="AV24" i="44"/>
  <c r="AV154" i="44"/>
  <c r="AA24" i="44"/>
  <c r="AA154" i="44"/>
  <c r="AC24" i="44"/>
  <c r="AC154" i="44"/>
  <c r="AE24" i="44"/>
  <c r="AE154" i="44"/>
  <c r="AT109" i="44"/>
  <c r="AT118" i="44"/>
  <c r="T109" i="44"/>
  <c r="T118" i="44"/>
  <c r="AK109" i="44"/>
  <c r="AK118" i="44"/>
  <c r="BB109" i="44"/>
  <c r="BB118" i="44"/>
  <c r="AV109" i="44"/>
  <c r="AV118" i="44"/>
  <c r="AS109" i="44"/>
  <c r="AS118" i="44"/>
  <c r="O109" i="44"/>
  <c r="O118" i="44"/>
  <c r="L109" i="44"/>
  <c r="L118" i="44"/>
  <c r="AX109" i="44"/>
  <c r="AX118" i="44"/>
  <c r="S109" i="44"/>
  <c r="S118" i="44"/>
  <c r="AJ109" i="44"/>
  <c r="AJ118" i="44"/>
  <c r="BA109" i="44"/>
  <c r="BA118" i="44"/>
  <c r="W109" i="44"/>
  <c r="W118" i="44"/>
  <c r="Q109" i="44"/>
  <c r="Q118" i="44"/>
  <c r="AP109" i="44"/>
  <c r="AP118" i="44"/>
  <c r="P109" i="44"/>
  <c r="P118" i="44"/>
  <c r="N109" i="44"/>
  <c r="N118" i="44"/>
  <c r="AE109" i="44"/>
  <c r="AE118" i="44"/>
  <c r="K109" i="44"/>
  <c r="K118" i="44"/>
  <c r="AC109" i="44"/>
  <c r="AC118" i="44"/>
  <c r="AB109" i="44"/>
  <c r="AB118" i="44"/>
  <c r="AA109" i="44"/>
  <c r="AA118" i="44"/>
  <c r="AW109" i="44"/>
  <c r="AW118" i="44"/>
  <c r="AZ109" i="44"/>
  <c r="AZ118" i="44"/>
  <c r="V109" i="44"/>
  <c r="V118" i="44"/>
  <c r="AM109" i="44"/>
  <c r="AM118" i="44"/>
  <c r="Y109" i="44"/>
  <c r="Y118" i="44"/>
  <c r="AR109" i="44"/>
  <c r="AR118" i="44"/>
  <c r="AI109" i="44"/>
  <c r="AI118" i="44"/>
  <c r="J109" i="44"/>
  <c r="J118" i="44"/>
  <c r="M109" i="44"/>
  <c r="M118" i="44"/>
  <c r="AU109" i="44"/>
  <c r="AU118" i="44"/>
  <c r="AH109" i="44"/>
  <c r="AH118" i="44"/>
  <c r="I118" i="44"/>
  <c r="I154" i="44"/>
  <c r="AG109" i="44"/>
  <c r="AG118" i="44"/>
  <c r="AO109" i="44"/>
  <c r="AO118" i="44"/>
  <c r="X109" i="44"/>
  <c r="X118" i="44"/>
  <c r="AF109" i="44"/>
  <c r="AF118" i="44"/>
  <c r="AQ109" i="44"/>
  <c r="AQ118" i="44"/>
  <c r="AD109" i="44"/>
  <c r="AD118" i="44"/>
  <c r="AN109" i="44"/>
  <c r="AN118" i="44"/>
  <c r="Z109" i="44"/>
  <c r="Z118" i="44"/>
  <c r="AY109" i="44"/>
  <c r="AY118" i="44"/>
  <c r="U109" i="44"/>
  <c r="U118" i="44"/>
  <c r="AL109" i="44"/>
  <c r="AL118" i="44"/>
  <c r="I109" i="44"/>
  <c r="I56" i="44"/>
  <c r="P46" i="44"/>
  <c r="I37" i="43"/>
  <c r="AQ87" i="44" s="1"/>
  <c r="H3" i="44"/>
  <c r="BA4" i="45"/>
  <c r="BB4" i="45"/>
  <c r="AN4" i="45"/>
  <c r="O4" i="45"/>
  <c r="AC4" i="45"/>
  <c r="L4" i="45"/>
  <c r="AP4" i="45"/>
  <c r="AF4" i="45"/>
  <c r="AT4" i="45"/>
  <c r="U4" i="45"/>
  <c r="AY4" i="45"/>
  <c r="AH4" i="45"/>
  <c r="AO4" i="45"/>
  <c r="X4" i="45"/>
  <c r="AL4" i="45"/>
  <c r="M4" i="45"/>
  <c r="AQ4" i="45"/>
  <c r="R4" i="45"/>
  <c r="AG4" i="45"/>
  <c r="P4" i="45"/>
  <c r="AD4" i="45"/>
  <c r="AZ4" i="45"/>
  <c r="AI4" i="45"/>
  <c r="J4" i="45"/>
  <c r="Y4" i="45"/>
  <c r="AU4" i="45"/>
  <c r="V4" i="45"/>
  <c r="AR4" i="45"/>
  <c r="AA4" i="45"/>
  <c r="AX4" i="45"/>
  <c r="Q4" i="45"/>
  <c r="AM4" i="45"/>
  <c r="N4" i="45"/>
  <c r="AJ4" i="45"/>
  <c r="S4" i="45"/>
  <c r="I4" i="45"/>
  <c r="AE4" i="45"/>
  <c r="AS4" i="45"/>
  <c r="AB4" i="45"/>
  <c r="K4" i="45"/>
  <c r="Z4" i="45"/>
  <c r="AV4" i="45"/>
  <c r="W4" i="45"/>
  <c r="AK4" i="45"/>
  <c r="T4" i="45"/>
  <c r="AW4" i="45"/>
  <c r="I3" i="45"/>
  <c r="I51" i="45" s="1"/>
  <c r="AB31" i="45" l="1"/>
  <c r="AM31" i="45"/>
  <c r="AC31" i="45"/>
  <c r="AI31" i="45"/>
  <c r="AK31" i="45"/>
  <c r="G40" i="43"/>
  <c r="AS90" i="44"/>
  <c r="AS97" i="44" s="1"/>
  <c r="AQ94" i="44"/>
  <c r="H189" i="44"/>
  <c r="H32" i="45"/>
  <c r="X31" i="45"/>
  <c r="Y31" i="45"/>
  <c r="V31" i="45"/>
  <c r="AJ31" i="45"/>
  <c r="AO31" i="45"/>
  <c r="W31" i="45"/>
  <c r="Z31" i="45"/>
  <c r="AH31" i="45"/>
  <c r="M31" i="45"/>
  <c r="AP31" i="45"/>
  <c r="AL31" i="45"/>
  <c r="P31" i="45"/>
  <c r="U31" i="45"/>
  <c r="AE31" i="45"/>
  <c r="AU28" i="45"/>
  <c r="AU30" i="45"/>
  <c r="AU29" i="45"/>
  <c r="AO28" i="45"/>
  <c r="AO30" i="45"/>
  <c r="AO29" i="45"/>
  <c r="I28" i="45"/>
  <c r="I30" i="45"/>
  <c r="I29" i="45"/>
  <c r="J28" i="45"/>
  <c r="J30" i="45"/>
  <c r="J29" i="45"/>
  <c r="N31" i="45"/>
  <c r="S28" i="45"/>
  <c r="S30" i="45"/>
  <c r="S29" i="45"/>
  <c r="AJ28" i="45"/>
  <c r="AJ30" i="45"/>
  <c r="AJ29" i="45"/>
  <c r="N28" i="45"/>
  <c r="N30" i="45"/>
  <c r="N29" i="45"/>
  <c r="AK28" i="45"/>
  <c r="AK30" i="45"/>
  <c r="AK29" i="45"/>
  <c r="AF28" i="45"/>
  <c r="AF30" i="45"/>
  <c r="AF29" i="45"/>
  <c r="Q28" i="45"/>
  <c r="Q30" i="45"/>
  <c r="Q29" i="45"/>
  <c r="R28" i="45"/>
  <c r="R30" i="45"/>
  <c r="R29" i="45"/>
  <c r="AC28" i="45"/>
  <c r="AC30" i="45"/>
  <c r="AC29" i="45"/>
  <c r="R31" i="45"/>
  <c r="AA31" i="45"/>
  <c r="Q31" i="45"/>
  <c r="X28" i="45"/>
  <c r="X30" i="45"/>
  <c r="X29" i="45"/>
  <c r="AE28" i="45"/>
  <c r="AE30" i="45"/>
  <c r="AE29" i="45"/>
  <c r="BA28" i="45"/>
  <c r="BA30" i="45"/>
  <c r="BA29" i="45"/>
  <c r="AY28" i="45"/>
  <c r="AY30" i="45"/>
  <c r="AY29" i="45"/>
  <c r="AW28" i="45"/>
  <c r="AW30" i="45"/>
  <c r="AW29" i="45"/>
  <c r="U28" i="45"/>
  <c r="U30" i="45"/>
  <c r="U29" i="45"/>
  <c r="T28" i="45"/>
  <c r="T30" i="45"/>
  <c r="T29" i="45"/>
  <c r="AT28" i="45"/>
  <c r="AT30" i="45"/>
  <c r="AT29" i="45"/>
  <c r="AM28" i="45"/>
  <c r="AM30" i="45"/>
  <c r="AM29" i="45"/>
  <c r="AD31" i="45"/>
  <c r="W28" i="45"/>
  <c r="W30" i="45"/>
  <c r="W29" i="45"/>
  <c r="AP28" i="45"/>
  <c r="AP30" i="45"/>
  <c r="AP29" i="45"/>
  <c r="AV28" i="45"/>
  <c r="AV30" i="45"/>
  <c r="AV29" i="45"/>
  <c r="L28" i="45"/>
  <c r="L30" i="45"/>
  <c r="L29" i="45"/>
  <c r="T31" i="45"/>
  <c r="Z28" i="45"/>
  <c r="Z30" i="45"/>
  <c r="Z29" i="45"/>
  <c r="AA28" i="45"/>
  <c r="AA30" i="45"/>
  <c r="AA29" i="45"/>
  <c r="M28" i="45"/>
  <c r="M30" i="45"/>
  <c r="M29" i="45"/>
  <c r="L31" i="45"/>
  <c r="AS28" i="45"/>
  <c r="AS30" i="45"/>
  <c r="AS29" i="45"/>
  <c r="BB28" i="45"/>
  <c r="BB30" i="45"/>
  <c r="BB29" i="45"/>
  <c r="Y28" i="45"/>
  <c r="Y30" i="45"/>
  <c r="Y29" i="45"/>
  <c r="S31" i="45"/>
  <c r="AH28" i="45"/>
  <c r="AH30" i="45"/>
  <c r="AH29" i="45"/>
  <c r="J31" i="45"/>
  <c r="AI28" i="45"/>
  <c r="AI30" i="45"/>
  <c r="AI29" i="45"/>
  <c r="AZ28" i="45"/>
  <c r="AZ30" i="45"/>
  <c r="AZ29" i="45"/>
  <c r="AD28" i="45"/>
  <c r="AD30" i="45"/>
  <c r="AD29" i="45"/>
  <c r="K31" i="45"/>
  <c r="AN31" i="45"/>
  <c r="P28" i="45"/>
  <c r="P30" i="45"/>
  <c r="P29" i="45"/>
  <c r="AG31" i="45"/>
  <c r="AG28" i="45"/>
  <c r="AG30" i="45"/>
  <c r="AG29" i="45"/>
  <c r="AX28" i="45"/>
  <c r="AX30" i="45"/>
  <c r="AX29" i="45"/>
  <c r="AQ28" i="45"/>
  <c r="AQ30" i="45"/>
  <c r="AQ29" i="45"/>
  <c r="K28" i="45"/>
  <c r="K30" i="45"/>
  <c r="K29" i="45"/>
  <c r="AR28" i="45"/>
  <c r="AR30" i="45"/>
  <c r="AR29" i="45"/>
  <c r="O28" i="45"/>
  <c r="O30" i="45"/>
  <c r="O29" i="45"/>
  <c r="AB28" i="45"/>
  <c r="AB30" i="45"/>
  <c r="AB29" i="45"/>
  <c r="V28" i="45"/>
  <c r="V30" i="45"/>
  <c r="V29" i="45"/>
  <c r="AL28" i="45"/>
  <c r="AL30" i="45"/>
  <c r="AL29" i="45"/>
  <c r="AN28" i="45"/>
  <c r="AN30" i="45"/>
  <c r="AN29" i="45"/>
  <c r="O31" i="45"/>
  <c r="AF31" i="45"/>
  <c r="H24" i="44"/>
  <c r="V26" i="45"/>
  <c r="V27" i="45"/>
  <c r="V25" i="45"/>
  <c r="AU26" i="45"/>
  <c r="AU27" i="45"/>
  <c r="AU25" i="45"/>
  <c r="BB26" i="45"/>
  <c r="BB27" i="45"/>
  <c r="BB25" i="45"/>
  <c r="H109" i="44"/>
  <c r="AJ26" i="45"/>
  <c r="AJ27" i="45"/>
  <c r="AJ25" i="45"/>
  <c r="R26" i="45"/>
  <c r="R25" i="45"/>
  <c r="R27" i="45"/>
  <c r="U26" i="45"/>
  <c r="U27" i="45"/>
  <c r="U25" i="45"/>
  <c r="Z26" i="45"/>
  <c r="Z27" i="45"/>
  <c r="Z25" i="45"/>
  <c r="N26" i="45"/>
  <c r="N27" i="45"/>
  <c r="N25" i="45"/>
  <c r="Y26" i="45"/>
  <c r="Y27" i="45"/>
  <c r="Y25" i="45"/>
  <c r="AQ26" i="45"/>
  <c r="AQ25" i="45"/>
  <c r="AQ27" i="45"/>
  <c r="AT26" i="45"/>
  <c r="AT27" i="45"/>
  <c r="AT25" i="45"/>
  <c r="BA26" i="45"/>
  <c r="BA27" i="45"/>
  <c r="BA25" i="45"/>
  <c r="H154" i="44"/>
  <c r="W26" i="45"/>
  <c r="W25" i="45"/>
  <c r="W27" i="45"/>
  <c r="AN26" i="45"/>
  <c r="AN25" i="45"/>
  <c r="AN27" i="45"/>
  <c r="AL26" i="45"/>
  <c r="AL25" i="45"/>
  <c r="AL27" i="45"/>
  <c r="H118" i="44"/>
  <c r="AG26" i="45"/>
  <c r="AG27" i="45"/>
  <c r="AG25" i="45"/>
  <c r="AV26" i="45"/>
  <c r="AV27" i="45"/>
  <c r="AV25" i="45"/>
  <c r="AM26" i="45"/>
  <c r="AM25" i="45"/>
  <c r="AM27" i="45"/>
  <c r="M26" i="45"/>
  <c r="M27" i="45"/>
  <c r="M25" i="45"/>
  <c r="L26" i="45"/>
  <c r="L27" i="45"/>
  <c r="L25" i="45"/>
  <c r="AY26" i="45"/>
  <c r="AY25" i="45"/>
  <c r="AY27" i="45"/>
  <c r="AF26" i="45"/>
  <c r="AF25" i="45"/>
  <c r="AF27" i="45"/>
  <c r="AW26" i="45"/>
  <c r="AW27" i="45"/>
  <c r="AW25" i="45"/>
  <c r="AX26" i="45"/>
  <c r="AX27" i="45"/>
  <c r="AX25" i="45"/>
  <c r="AZ26" i="45"/>
  <c r="AZ27" i="45"/>
  <c r="AZ25" i="45"/>
  <c r="X26" i="45"/>
  <c r="X25" i="45"/>
  <c r="X27" i="45"/>
  <c r="T26" i="45"/>
  <c r="T25" i="45"/>
  <c r="T27" i="45"/>
  <c r="AE26" i="45"/>
  <c r="AE25" i="45"/>
  <c r="AE27" i="45"/>
  <c r="AA26" i="45"/>
  <c r="AA25" i="45"/>
  <c r="AA27" i="45"/>
  <c r="AD26" i="45"/>
  <c r="AD27" i="45"/>
  <c r="AD25" i="45"/>
  <c r="AO26" i="45"/>
  <c r="AO27" i="45"/>
  <c r="AO25" i="45"/>
  <c r="AC26" i="45"/>
  <c r="AC25" i="45"/>
  <c r="AC27" i="45"/>
  <c r="S26" i="45"/>
  <c r="S25" i="45"/>
  <c r="S27" i="45"/>
  <c r="K26" i="45"/>
  <c r="K27" i="45"/>
  <c r="K25" i="45"/>
  <c r="J26" i="45"/>
  <c r="J25" i="45"/>
  <c r="J27" i="45"/>
  <c r="AB26" i="45"/>
  <c r="AB27" i="45"/>
  <c r="AB25" i="45"/>
  <c r="Q26" i="45"/>
  <c r="Q27" i="45"/>
  <c r="Q25" i="45"/>
  <c r="AI26" i="45"/>
  <c r="AI27" i="45"/>
  <c r="AI25" i="45"/>
  <c r="AP26" i="45"/>
  <c r="AP25" i="45"/>
  <c r="AP27" i="45"/>
  <c r="AS26" i="45"/>
  <c r="AS27" i="45"/>
  <c r="AS25" i="45"/>
  <c r="AK26" i="45"/>
  <c r="AK25" i="45"/>
  <c r="AK27" i="45"/>
  <c r="I26" i="45"/>
  <c r="I27" i="45"/>
  <c r="I25" i="45"/>
  <c r="I24" i="45"/>
  <c r="AR26" i="45"/>
  <c r="AR25" i="45"/>
  <c r="AR27" i="45"/>
  <c r="P26" i="45"/>
  <c r="P27" i="45"/>
  <c r="P25" i="45"/>
  <c r="AH26" i="45"/>
  <c r="AH27" i="45"/>
  <c r="AH25" i="45"/>
  <c r="O26" i="45"/>
  <c r="O27" i="45"/>
  <c r="O25" i="45"/>
  <c r="AQ24" i="45"/>
  <c r="V24" i="45"/>
  <c r="AS24" i="45"/>
  <c r="AU24" i="45"/>
  <c r="X24" i="45"/>
  <c r="AA24" i="45"/>
  <c r="K24" i="45"/>
  <c r="M24" i="45"/>
  <c r="AE24" i="45"/>
  <c r="Y24" i="45"/>
  <c r="AO24" i="45"/>
  <c r="J24" i="45"/>
  <c r="BB24" i="45"/>
  <c r="S24" i="45"/>
  <c r="AI24" i="45"/>
  <c r="AY24" i="45"/>
  <c r="BA24" i="45"/>
  <c r="AW24" i="45"/>
  <c r="AJ24" i="45"/>
  <c r="AZ24" i="45"/>
  <c r="U24" i="45"/>
  <c r="AH24" i="45"/>
  <c r="T24" i="45"/>
  <c r="N24" i="45"/>
  <c r="AD24" i="45"/>
  <c r="AT24" i="45"/>
  <c r="P24" i="45"/>
  <c r="AK24" i="45"/>
  <c r="AM24" i="45"/>
  <c r="AF24" i="45"/>
  <c r="W24" i="45"/>
  <c r="Q24" i="45"/>
  <c r="AG24" i="45"/>
  <c r="AP24" i="45"/>
  <c r="AV24" i="45"/>
  <c r="AX24" i="45"/>
  <c r="R24" i="45"/>
  <c r="L24" i="45"/>
  <c r="Z24" i="45"/>
  <c r="AC24" i="45"/>
  <c r="AR24" i="45"/>
  <c r="O24" i="45"/>
  <c r="AB24" i="45"/>
  <c r="AL24" i="45"/>
  <c r="AN24" i="45"/>
  <c r="I41" i="45"/>
  <c r="J18" i="70" s="1"/>
  <c r="L41" i="45"/>
  <c r="J21" i="70" s="1"/>
  <c r="I38" i="43"/>
  <c r="AR87" i="44" s="1"/>
  <c r="H37" i="43"/>
  <c r="AQ89" i="44" s="1"/>
  <c r="F37" i="43"/>
  <c r="AQ88" i="44" s="1"/>
  <c r="AJ46" i="44"/>
  <c r="AZ46" i="44"/>
  <c r="M46" i="44"/>
  <c r="S46" i="44"/>
  <c r="AH46" i="44"/>
  <c r="AL46" i="44"/>
  <c r="W46" i="44"/>
  <c r="AY46" i="44"/>
  <c r="J46" i="44"/>
  <c r="AU46" i="44"/>
  <c r="Q46" i="44"/>
  <c r="V46" i="44"/>
  <c r="N46" i="44"/>
  <c r="O46" i="44"/>
  <c r="AX46" i="44"/>
  <c r="AP46" i="44"/>
  <c r="K46" i="44"/>
  <c r="AV46" i="44"/>
  <c r="AN46" i="44"/>
  <c r="AU56" i="44"/>
  <c r="Q56" i="44"/>
  <c r="V56" i="44"/>
  <c r="N56" i="44"/>
  <c r="O56" i="44"/>
  <c r="H55" i="44"/>
  <c r="AX56" i="44"/>
  <c r="P56" i="44"/>
  <c r="X56" i="44"/>
  <c r="AP56" i="44"/>
  <c r="K56" i="44"/>
  <c r="Z56" i="44"/>
  <c r="AV56" i="44"/>
  <c r="AN56" i="44"/>
  <c r="AF56" i="44"/>
  <c r="U56" i="44"/>
  <c r="AR56" i="44"/>
  <c r="BA56" i="44"/>
  <c r="AB56" i="44"/>
  <c r="AK56" i="44"/>
  <c r="T56" i="44"/>
  <c r="AS56" i="44"/>
  <c r="AC56" i="44"/>
  <c r="AG56" i="44"/>
  <c r="AE56" i="44"/>
  <c r="BB56" i="44"/>
  <c r="Y56" i="44"/>
  <c r="AT56" i="44"/>
  <c r="AM56" i="44"/>
  <c r="AL56" i="44"/>
  <c r="AD56" i="44"/>
  <c r="W56" i="44"/>
  <c r="AW56" i="44"/>
  <c r="AA56" i="44"/>
  <c r="S56" i="44"/>
  <c r="AH56" i="44"/>
  <c r="R56" i="44"/>
  <c r="AO56" i="44"/>
  <c r="AY56" i="44"/>
  <c r="J56" i="44"/>
  <c r="AQ56" i="44"/>
  <c r="AI56" i="44"/>
  <c r="AJ56" i="44"/>
  <c r="AZ56" i="44"/>
  <c r="L56" i="44"/>
  <c r="M56" i="44"/>
  <c r="AU51" i="45"/>
  <c r="AJ51" i="45"/>
  <c r="AH51" i="45"/>
  <c r="AY51" i="45"/>
  <c r="T51" i="45"/>
  <c r="R51" i="45"/>
  <c r="AZ51" i="45"/>
  <c r="AT51" i="45"/>
  <c r="AP51" i="45"/>
  <c r="AC51" i="45"/>
  <c r="AK51" i="45"/>
  <c r="K51" i="45"/>
  <c r="V51" i="45"/>
  <c r="Q51" i="45"/>
  <c r="M51" i="45"/>
  <c r="W51" i="45"/>
  <c r="N51" i="45"/>
  <c r="AA51" i="45"/>
  <c r="BA51" i="45"/>
  <c r="AB51" i="45"/>
  <c r="Y51" i="45"/>
  <c r="U51" i="45"/>
  <c r="AE51" i="45"/>
  <c r="AS51" i="45"/>
  <c r="J51" i="45"/>
  <c r="AI51" i="45"/>
  <c r="O51" i="45"/>
  <c r="AO51" i="45"/>
  <c r="AR51" i="45"/>
  <c r="L51" i="45"/>
  <c r="BB51" i="45"/>
  <c r="AD51" i="45"/>
  <c r="AQ51" i="45"/>
  <c r="AF51" i="45"/>
  <c r="AN51" i="45"/>
  <c r="AM51" i="45"/>
  <c r="S51" i="45"/>
  <c r="P51" i="45"/>
  <c r="AG51" i="45"/>
  <c r="AW51" i="45"/>
  <c r="Z51" i="45"/>
  <c r="X51" i="45"/>
  <c r="AX51" i="45"/>
  <c r="AL51" i="45"/>
  <c r="AV51" i="45"/>
  <c r="H3" i="45"/>
  <c r="G4" i="70" l="1"/>
  <c r="E17" i="19"/>
  <c r="E173" i="70"/>
  <c r="E140" i="70"/>
  <c r="AQ95" i="44"/>
  <c r="AQ91" i="44"/>
  <c r="AQ96" i="44"/>
  <c r="G41" i="43"/>
  <c r="AT90" i="44"/>
  <c r="AT97" i="44" s="1"/>
  <c r="AR94" i="44"/>
  <c r="H28" i="45"/>
  <c r="H30" i="45"/>
  <c r="I31" i="45"/>
  <c r="H29" i="45"/>
  <c r="H27" i="45"/>
  <c r="H26" i="45"/>
  <c r="E149" i="70" s="1"/>
  <c r="H25" i="45"/>
  <c r="E166" i="70" s="1"/>
  <c r="AT46" i="44"/>
  <c r="I39" i="43"/>
  <c r="AS87" i="44" s="1"/>
  <c r="H38" i="43"/>
  <c r="AR89" i="44" s="1"/>
  <c r="AR96" i="44" s="1"/>
  <c r="F38" i="43"/>
  <c r="AR88" i="44" s="1"/>
  <c r="AR95" i="44" s="1"/>
  <c r="AE46" i="44"/>
  <c r="X46" i="44"/>
  <c r="AD46" i="44"/>
  <c r="R46" i="44"/>
  <c r="BB46" i="44"/>
  <c r="AO46" i="44"/>
  <c r="Y46" i="44"/>
  <c r="L46" i="44"/>
  <c r="AM46" i="44"/>
  <c r="AQ46" i="44"/>
  <c r="AA46" i="44"/>
  <c r="AG46" i="44"/>
  <c r="Z46" i="44"/>
  <c r="U46" i="44"/>
  <c r="AR46" i="44"/>
  <c r="AI46" i="44"/>
  <c r="AS46" i="44"/>
  <c r="AK46" i="44"/>
  <c r="AW46" i="44"/>
  <c r="AF46" i="44"/>
  <c r="T46" i="44"/>
  <c r="AC46" i="44"/>
  <c r="BA46" i="44"/>
  <c r="H56" i="44"/>
  <c r="H45" i="44"/>
  <c r="AB46" i="44"/>
  <c r="G10" i="70" l="1"/>
  <c r="E167" i="70"/>
  <c r="E20" i="19"/>
  <c r="AR91" i="44"/>
  <c r="G7" i="70"/>
  <c r="E170" i="70"/>
  <c r="E118" i="70"/>
  <c r="E14" i="19"/>
  <c r="G42" i="43"/>
  <c r="AU90" i="44"/>
  <c r="AU97" i="44" s="1"/>
  <c r="G6" i="70"/>
  <c r="E12" i="19"/>
  <c r="E168" i="70"/>
  <c r="E69" i="70"/>
  <c r="AS94" i="44"/>
  <c r="G3" i="70"/>
  <c r="E101" i="70"/>
  <c r="E15" i="19"/>
  <c r="E171" i="70"/>
  <c r="G5" i="70"/>
  <c r="E70" i="70"/>
  <c r="E13" i="19"/>
  <c r="E169" i="70"/>
  <c r="AQ18" i="45"/>
  <c r="G11" i="70"/>
  <c r="E19" i="19"/>
  <c r="I40" i="43"/>
  <c r="AT87" i="44" s="1"/>
  <c r="H39" i="43"/>
  <c r="AS89" i="44" s="1"/>
  <c r="AS96" i="44" s="1"/>
  <c r="F39" i="43"/>
  <c r="AS88" i="44" s="1"/>
  <c r="AS95" i="44" s="1"/>
  <c r="H46" i="44"/>
  <c r="T34" i="45"/>
  <c r="AC34" i="45"/>
  <c r="Q34" i="45"/>
  <c r="AP34" i="45"/>
  <c r="V34" i="45"/>
  <c r="L34" i="45"/>
  <c r="AD34" i="45"/>
  <c r="AN34" i="45"/>
  <c r="AO34" i="45"/>
  <c r="W34" i="45"/>
  <c r="AM34" i="45"/>
  <c r="AJ34" i="45"/>
  <c r="K34" i="45"/>
  <c r="N34" i="45"/>
  <c r="M34" i="45"/>
  <c r="O34" i="45"/>
  <c r="AE34" i="45"/>
  <c r="J34" i="45"/>
  <c r="AL34" i="45"/>
  <c r="S34" i="45"/>
  <c r="AF34" i="45"/>
  <c r="AH34" i="45"/>
  <c r="U34" i="45"/>
  <c r="AA34" i="45"/>
  <c r="R34" i="45"/>
  <c r="AB34" i="45"/>
  <c r="AI34" i="45"/>
  <c r="AG34" i="45"/>
  <c r="P34" i="45"/>
  <c r="Y34" i="45"/>
  <c r="X34" i="45"/>
  <c r="Z34" i="45"/>
  <c r="AK34" i="45"/>
  <c r="AS91" i="44" l="1"/>
  <c r="AS18" i="45" s="1"/>
  <c r="AS21" i="45" s="1"/>
  <c r="AQ31" i="45"/>
  <c r="AQ21" i="45"/>
  <c r="AR18" i="45"/>
  <c r="AR21" i="45" s="1"/>
  <c r="AR31" i="45"/>
  <c r="AR34" i="45" s="1"/>
  <c r="G43" i="43"/>
  <c r="AV90" i="44"/>
  <c r="AV97" i="44" s="1"/>
  <c r="AS31" i="45"/>
  <c r="AS34" i="45" s="1"/>
  <c r="AT94" i="44"/>
  <c r="E71" i="70"/>
  <c r="I41" i="43"/>
  <c r="AU87" i="44" s="1"/>
  <c r="H40" i="43"/>
  <c r="AT89" i="44" s="1"/>
  <c r="AT96" i="44" s="1"/>
  <c r="F40" i="43"/>
  <c r="AT88" i="44" s="1"/>
  <c r="AT95" i="44" s="1"/>
  <c r="I34" i="45"/>
  <c r="AR48" i="45" l="1"/>
  <c r="AQ48" i="45"/>
  <c r="AS48" i="45"/>
  <c r="AU94" i="44"/>
  <c r="AQ34" i="45"/>
  <c r="AT91" i="44"/>
  <c r="G44" i="43"/>
  <c r="AW90" i="44"/>
  <c r="AW97" i="44" s="1"/>
  <c r="I42" i="43"/>
  <c r="AV87" i="44" s="1"/>
  <c r="H41" i="43"/>
  <c r="AU89" i="44" s="1"/>
  <c r="AU96" i="44" s="1"/>
  <c r="F41" i="43"/>
  <c r="AU88" i="44" s="1"/>
  <c r="AU95" i="44" s="1"/>
  <c r="AT18" i="45" l="1"/>
  <c r="AV94" i="44"/>
  <c r="AU91" i="44"/>
  <c r="G45" i="43"/>
  <c r="AX90" i="44"/>
  <c r="AX97" i="44" s="1"/>
  <c r="I43" i="43"/>
  <c r="AW87" i="44" s="1"/>
  <c r="H42" i="43"/>
  <c r="AV89" i="44" s="1"/>
  <c r="AV96" i="44" s="1"/>
  <c r="F42" i="43"/>
  <c r="AV88" i="44" s="1"/>
  <c r="AV95" i="44" s="1"/>
  <c r="AV91" i="44" l="1"/>
  <c r="G46" i="43"/>
  <c r="G47" i="43" s="1"/>
  <c r="G48" i="43" s="1"/>
  <c r="G49" i="43" s="1"/>
  <c r="G50" i="43" s="1"/>
  <c r="BA90" i="44"/>
  <c r="BA97" i="44" s="1"/>
  <c r="AY90" i="44"/>
  <c r="AY97" i="44" s="1"/>
  <c r="AZ90" i="44"/>
  <c r="AZ97" i="44" s="1"/>
  <c r="BB90" i="44"/>
  <c r="AU18" i="45"/>
  <c r="AU21" i="45" s="1"/>
  <c r="AU31" i="45"/>
  <c r="AU34" i="45" s="1"/>
  <c r="AW94" i="44"/>
  <c r="AT21" i="45"/>
  <c r="I44" i="43"/>
  <c r="AX87" i="44" s="1"/>
  <c r="H43" i="43"/>
  <c r="AW89" i="44" s="1"/>
  <c r="AW96" i="44" s="1"/>
  <c r="F43" i="43"/>
  <c r="AW88" i="44" s="1"/>
  <c r="AW95" i="44" s="1"/>
  <c r="BB97" i="44" l="1"/>
  <c r="H97" i="44" s="1"/>
  <c r="F131" i="70" s="1"/>
  <c r="H90" i="44"/>
  <c r="E131" i="70" s="1"/>
  <c r="AT48" i="45"/>
  <c r="AU48" i="45"/>
  <c r="AW91" i="44"/>
  <c r="AT31" i="45"/>
  <c r="AV18" i="45"/>
  <c r="AV31" i="45"/>
  <c r="AV34" i="45" s="1"/>
  <c r="AX94" i="44"/>
  <c r="I45" i="43"/>
  <c r="H44" i="43"/>
  <c r="AX89" i="44" s="1"/>
  <c r="AX96" i="44" s="1"/>
  <c r="F44" i="43"/>
  <c r="AX88" i="44" s="1"/>
  <c r="AX95" i="44" s="1"/>
  <c r="AT34" i="45" l="1"/>
  <c r="AZ87" i="44"/>
  <c r="AY87" i="44"/>
  <c r="BA87" i="44"/>
  <c r="BB87" i="44"/>
  <c r="AW18" i="45"/>
  <c r="AW21" i="45" s="1"/>
  <c r="AX91" i="44"/>
  <c r="AV21" i="45"/>
  <c r="I46" i="43"/>
  <c r="H45" i="43"/>
  <c r="F45" i="43"/>
  <c r="BB94" i="44" l="1"/>
  <c r="H87" i="44"/>
  <c r="E128" i="70" s="1"/>
  <c r="BA94" i="44"/>
  <c r="AY94" i="44"/>
  <c r="AZ89" i="44"/>
  <c r="AZ96" i="44" s="1"/>
  <c r="BA89" i="44"/>
  <c r="BA96" i="44" s="1"/>
  <c r="BB89" i="44"/>
  <c r="AY89" i="44"/>
  <c r="AY96" i="44" s="1"/>
  <c r="AZ94" i="44"/>
  <c r="AW31" i="45"/>
  <c r="AV48" i="45"/>
  <c r="AW48" i="45"/>
  <c r="AY88" i="44"/>
  <c r="AY95" i="44" s="1"/>
  <c r="AZ88" i="44"/>
  <c r="AZ95" i="44" s="1"/>
  <c r="BA88" i="44"/>
  <c r="BA95" i="44" s="1"/>
  <c r="BB88" i="44"/>
  <c r="AX18" i="45"/>
  <c r="AX21" i="45" s="1"/>
  <c r="AX31" i="45"/>
  <c r="AX34" i="45" s="1"/>
  <c r="I47" i="43"/>
  <c r="H46" i="43"/>
  <c r="F46" i="43"/>
  <c r="H94" i="44" l="1"/>
  <c r="AX48" i="45"/>
  <c r="AW34" i="45"/>
  <c r="AY91" i="44"/>
  <c r="BB95" i="44"/>
  <c r="H88" i="44"/>
  <c r="E129" i="70" s="1"/>
  <c r="AZ91" i="44"/>
  <c r="BA91" i="44"/>
  <c r="BB96" i="44"/>
  <c r="H96" i="44" s="1"/>
  <c r="F130" i="70" s="1"/>
  <c r="H89" i="44"/>
  <c r="E130" i="70" s="1"/>
  <c r="F128" i="70"/>
  <c r="BB91" i="44"/>
  <c r="I48" i="43"/>
  <c r="H47" i="43"/>
  <c r="F47" i="43"/>
  <c r="H95" i="44" l="1"/>
  <c r="F129" i="70" s="1"/>
  <c r="AY18" i="45"/>
  <c r="BA18" i="45"/>
  <c r="BA21" i="45" s="1"/>
  <c r="BA31" i="45"/>
  <c r="BA34" i="45" s="1"/>
  <c r="BB18" i="45"/>
  <c r="BB21" i="45" s="1"/>
  <c r="H91" i="44"/>
  <c r="E132" i="70" s="1"/>
  <c r="AZ18" i="45"/>
  <c r="AZ21" i="45" s="1"/>
  <c r="AZ31" i="45"/>
  <c r="AZ34" i="45" s="1"/>
  <c r="I49" i="43"/>
  <c r="I50" i="43" s="1"/>
  <c r="H48" i="43"/>
  <c r="F48" i="43"/>
  <c r="AY31" i="45" l="1"/>
  <c r="AY21" i="45"/>
  <c r="H18" i="45"/>
  <c r="BB31" i="45"/>
  <c r="BB34" i="45" s="1"/>
  <c r="H49" i="43"/>
  <c r="H50" i="43" s="1"/>
  <c r="F49" i="43"/>
  <c r="F50" i="43" s="1"/>
  <c r="D16" i="19" l="1"/>
  <c r="D172" i="70"/>
  <c r="AZ48" i="45"/>
  <c r="BB48" i="45"/>
  <c r="G48" i="45" s="1"/>
  <c r="D178" i="70" s="1"/>
  <c r="AY48" i="45"/>
  <c r="H21" i="45"/>
  <c r="D5" i="19" s="1"/>
  <c r="BA48" i="45"/>
  <c r="H98" i="44"/>
  <c r="AY34" i="45"/>
  <c r="H34" i="45" s="1"/>
  <c r="E5" i="19" s="1"/>
  <c r="H31" i="45"/>
  <c r="H11" i="45"/>
  <c r="D165" i="70" l="1"/>
  <c r="D164" i="70" s="1"/>
  <c r="D144" i="70"/>
  <c r="D18" i="19"/>
  <c r="D21" i="19" s="1"/>
  <c r="G8" i="70"/>
  <c r="E172" i="70"/>
  <c r="E16" i="19"/>
  <c r="H24" i="45"/>
  <c r="BB41" i="45"/>
  <c r="BA41" i="45"/>
  <c r="V41" i="45"/>
  <c r="U41" i="45"/>
  <c r="AF41" i="45"/>
  <c r="AT41" i="45"/>
  <c r="T41" i="45"/>
  <c r="AA41" i="45"/>
  <c r="AS41" i="45"/>
  <c r="O41" i="45"/>
  <c r="J24" i="70" s="1"/>
  <c r="AL41" i="45"/>
  <c r="AG41" i="45"/>
  <c r="AO41" i="45"/>
  <c r="N41" i="45"/>
  <c r="J23" i="70" s="1"/>
  <c r="AN41" i="45"/>
  <c r="AI41" i="45"/>
  <c r="AV41" i="45"/>
  <c r="AB41" i="45"/>
  <c r="AJ41" i="45"/>
  <c r="X41" i="45"/>
  <c r="Y41" i="45"/>
  <c r="AQ41" i="45"/>
  <c r="AY41" i="45"/>
  <c r="W41" i="45"/>
  <c r="AE41" i="45"/>
  <c r="Z41" i="45"/>
  <c r="AR41" i="45"/>
  <c r="AM41" i="45"/>
  <c r="AH41" i="45"/>
  <c r="AZ41" i="45"/>
  <c r="AC41" i="45"/>
  <c r="S41" i="45"/>
  <c r="P41" i="45"/>
  <c r="J25" i="70" s="1"/>
  <c r="AX41" i="45"/>
  <c r="R41" i="45"/>
  <c r="AD41" i="45"/>
  <c r="K41" i="45"/>
  <c r="J20" i="70" s="1"/>
  <c r="J41" i="45"/>
  <c r="J19" i="70" s="1"/>
  <c r="AW41" i="45"/>
  <c r="AU41" i="45"/>
  <c r="AP41" i="45"/>
  <c r="AK41" i="45"/>
  <c r="M41" i="45"/>
  <c r="J22" i="70" s="1"/>
  <c r="Q41" i="45"/>
  <c r="E144" i="70" l="1"/>
  <c r="E165" i="70"/>
  <c r="E164" i="70" s="1"/>
  <c r="G9" i="70"/>
  <c r="E18" i="19"/>
  <c r="E21" i="19" s="1"/>
  <c r="J26" i="70"/>
  <c r="H41" i="45"/>
  <c r="H38" i="45"/>
  <c r="G21" i="19" l="1"/>
  <c r="G17" i="19"/>
  <c r="G14" i="19"/>
  <c r="G12" i="19"/>
  <c r="G15" i="19"/>
  <c r="G20" i="19"/>
  <c r="G19" i="19"/>
  <c r="G13" i="19"/>
  <c r="G16" i="19"/>
  <c r="D174" i="70"/>
  <c r="D6" i="19"/>
  <c r="G45" i="45"/>
  <c r="E174" i="70"/>
  <c r="E6" i="19"/>
  <c r="G18" i="19"/>
  <c r="G46" i="45"/>
  <c r="D176" i="70" l="1"/>
  <c r="E176" i="70"/>
  <c r="E183" i="70" s="1"/>
  <c r="E175" i="70"/>
  <c r="F183" i="70" s="1"/>
  <c r="G186" i="70" s="1"/>
  <c r="G184" i="70" l="1"/>
  <c r="G185" i="70"/>
  <c r="D175" i="70"/>
  <c r="D7" i="19"/>
  <c r="D8" i="19"/>
  <c r="E7" i="19"/>
  <c r="E8" i="19"/>
  <c r="G47" i="45" l="1" a="1"/>
  <c r="G47" i="45" s="1"/>
  <c r="D177" i="7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Ruslanbek Uulu, Bakai</author>
  </authors>
  <commentList>
    <comment ref="E45" authorId="0" shapeId="0" xr:uid="{EF675CD6-F9AE-418C-AABB-60BF08D39DF9}">
      <text>
        <r>
          <rPr>
            <b/>
            <sz val="9"/>
            <color indexed="81"/>
            <rFont val="Tahoma"/>
            <family val="2"/>
          </rPr>
          <t xml:space="preserve">WSP: </t>
        </r>
        <r>
          <rPr>
            <sz val="9"/>
            <color indexed="81"/>
            <rFont val="Tahoma"/>
            <family val="2"/>
          </rPr>
          <t xml:space="preserve">Rule of half is applied to induced demand.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tc={2B50C1A9-030F-4290-B99A-0A35E58CEB49}</author>
  </authors>
  <commentList>
    <comment ref="C163" authorId="0" shapeId="0" xr:uid="{2B50C1A9-030F-4290-B99A-0A35E58CEB49}">
      <text>
        <t>[Threaded comment]
Your version of Excel allows you to read this threaded comment; however, any edits to it will get removed if the file is opened in a newer version of Excel. Learn more: https://go.microsoft.com/fwlink/?linkid=870924
Comment:
    Need to make the difference more explicit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<sst xmlns="http://schemas.openxmlformats.org/spreadsheetml/2006/main" count="1238" uniqueCount="488">
  <si>
    <t>Benefit Cost Analysis Model</t>
  </si>
  <si>
    <t xml:space="preserve">This model contains all calculations used in the Benefit Cost Analysis for this project. The legend below provides guidance on the role of each tab, and the meaning of different colors and shading throughout the model. </t>
  </si>
  <si>
    <t>Tab Reference</t>
  </si>
  <si>
    <t>Aqua Shading - Intro Materials</t>
  </si>
  <si>
    <t>Lime Green Shading - General Assumptions and USDOT Input Values</t>
  </si>
  <si>
    <t>Orange Shading - Project Input Values and intermediate calculations, reflecting project-specific information</t>
  </si>
  <si>
    <t>Light Pink Shading - Calculations</t>
  </si>
  <si>
    <t>Purple Shading - Aggregated Values, Benefits, and Costs</t>
  </si>
  <si>
    <t>Blue Shading - Output Tables and Charts</t>
  </si>
  <si>
    <t>Cell Reference</t>
  </si>
  <si>
    <t>Light Green Cell Shading - Model Owner Input Value</t>
  </si>
  <si>
    <t>Light Yellow Cell Shading - User Input Value</t>
  </si>
  <si>
    <t>Blue Text - Import from Another Sheet</t>
  </si>
  <si>
    <t>Red Text - Exported to Another Sheet</t>
  </si>
  <si>
    <t>Purple Italicized Text - Additional Model Guidance</t>
  </si>
  <si>
    <t>Gray text or numbes indicate intermediate calculations for some metrics</t>
  </si>
  <si>
    <t>Damage Cost for Emissions</t>
  </si>
  <si>
    <t>Damage Costs per metric ton</t>
  </si>
  <si>
    <t>Emission Type</t>
  </si>
  <si>
    <t>NOx</t>
  </si>
  <si>
    <t>SOx</t>
  </si>
  <si>
    <t>PM2.5**</t>
  </si>
  <si>
    <t>CO2</t>
  </si>
  <si>
    <t>Source: USDOT BCA Guidance 2023, Table A-6</t>
  </si>
  <si>
    <t>Note: The model assumes that after 2050 the damage costs remain constant.</t>
  </si>
  <si>
    <r>
      <t>**</t>
    </r>
    <r>
      <rPr>
        <i/>
        <sz val="11"/>
        <color theme="1"/>
        <rFont val="Calibri"/>
        <family val="2"/>
        <scheme val="minor"/>
      </rPr>
      <t>Applicants should be careful to not apply the PM2.5 value to estimates of total emissions of PM10</t>
    </r>
  </si>
  <si>
    <t>Narrative Tables</t>
  </si>
  <si>
    <t xml:space="preserve">Overall BCA Results, Millions of 2022 Dollars Unless Specified </t>
  </si>
  <si>
    <t>Evaluation Metrics</t>
  </si>
  <si>
    <t>Total Benefits</t>
  </si>
  <si>
    <t>Total Costs</t>
  </si>
  <si>
    <t>Net Present Value</t>
  </si>
  <si>
    <t>BCR</t>
  </si>
  <si>
    <t>Fiscal Year</t>
  </si>
  <si>
    <t>Summary</t>
  </si>
  <si>
    <t>Project Operations Flag</t>
  </si>
  <si>
    <t>Factor</t>
  </si>
  <si>
    <t>Discount Factor</t>
  </si>
  <si>
    <t xml:space="preserve"> </t>
  </si>
  <si>
    <t>Variable</t>
  </si>
  <si>
    <t>Source/Notes</t>
  </si>
  <si>
    <t>Unit</t>
  </si>
  <si>
    <t>BCA Summary</t>
  </si>
  <si>
    <t>Project Benefits</t>
  </si>
  <si>
    <t>Undiscounted Benefits</t>
  </si>
  <si>
    <t>O&amp;M and R&amp;R Cost Savings</t>
  </si>
  <si>
    <t>2022 $</t>
  </si>
  <si>
    <t>Residual Value</t>
  </si>
  <si>
    <t>Repurposed ROW</t>
  </si>
  <si>
    <t>Pedestrian Amenity Benefits</t>
  </si>
  <si>
    <t>Cycling Amenity benefits</t>
  </si>
  <si>
    <t>Health Benefits</t>
  </si>
  <si>
    <t>Plaza benefits</t>
  </si>
  <si>
    <t>Emissions Savings</t>
  </si>
  <si>
    <t>Discounted Benefits</t>
  </si>
  <si>
    <t>Capital Costs</t>
  </si>
  <si>
    <t>Undiscounted Capital Costs</t>
  </si>
  <si>
    <t>Total Capital Costs</t>
  </si>
  <si>
    <t>Discounted Capital Costs</t>
  </si>
  <si>
    <t>BCA Metrics</t>
  </si>
  <si>
    <t>ratio</t>
  </si>
  <si>
    <t>IRR</t>
  </si>
  <si>
    <t>percent</t>
  </si>
  <si>
    <t>Payback Period</t>
  </si>
  <si>
    <t>years</t>
  </si>
  <si>
    <t>Value</t>
  </si>
  <si>
    <t>General Information</t>
  </si>
  <si>
    <t>Base Year (for discounting)</t>
  </si>
  <si>
    <t>year</t>
  </si>
  <si>
    <t>USDOT Benefit-Cost Analysis Guidance for Discretionary Grant Programs - Dec 2023</t>
  </si>
  <si>
    <t>General Discount Rate</t>
  </si>
  <si>
    <t>CO2 Discount Rate</t>
  </si>
  <si>
    <t>General Escalation Rate</t>
  </si>
  <si>
    <t>BCA Assumption</t>
  </si>
  <si>
    <t>Annualization Factor</t>
  </si>
  <si>
    <t>factor</t>
  </si>
  <si>
    <t>Project Opening Year</t>
  </si>
  <si>
    <t>Project Information</t>
  </si>
  <si>
    <t>Capital Cost First Year</t>
  </si>
  <si>
    <t>Benefits Period</t>
  </si>
  <si>
    <t>miles</t>
  </si>
  <si>
    <t>feet</t>
  </si>
  <si>
    <t>Bike Lane Length</t>
  </si>
  <si>
    <t>Project Cost Data</t>
  </si>
  <si>
    <t>Total Capital Cost</t>
  </si>
  <si>
    <t>Capital Costs'!A1</t>
  </si>
  <si>
    <t>O&amp;M</t>
  </si>
  <si>
    <t>O&amp;M'!A1</t>
  </si>
  <si>
    <t>Traffic Growth Rate</t>
  </si>
  <si>
    <t>Project Assumption</t>
  </si>
  <si>
    <t>Passenger Vehicle Average Vehicle Occupancy (AVO) All Travel</t>
  </si>
  <si>
    <t>persons/vehicle</t>
  </si>
  <si>
    <t>USDOT Benefit-Cost Analysis Guidance for Discretionary Grant Programs - December 2023</t>
  </si>
  <si>
    <t>2022 $/hour</t>
  </si>
  <si>
    <t>Walking, Cycling, Waiting, Standing, and 
Transfer Time</t>
  </si>
  <si>
    <t>Dedicated cycling lane</t>
  </si>
  <si>
    <t>2022 $ / cycling mile</t>
  </si>
  <si>
    <t>USDOT Benefit-Cost Analysis Guidance for Discretionary Grant Programs - January 2023</t>
  </si>
  <si>
    <t>Expand Sidewalk (per foot
of added Width)</t>
  </si>
  <si>
    <t>2022 $/person-mile</t>
  </si>
  <si>
    <t>Average Bike Distance</t>
  </si>
  <si>
    <t>USDOT Benefit-Cost Analysis Guidance for Discretionary Grant Programs - December 2023; 2017 National Household Travel Survey</t>
  </si>
  <si>
    <t>Source: City of Covington</t>
  </si>
  <si>
    <t>Bike Lane Expansion</t>
  </si>
  <si>
    <t>Cyclists Base Year</t>
  </si>
  <si>
    <t>Daily Cyclists</t>
  </si>
  <si>
    <t>daily number</t>
  </si>
  <si>
    <t>Source: Replica Great Lakes Spring 2023</t>
  </si>
  <si>
    <t>Residential Uptake 2032</t>
  </si>
  <si>
    <t>Hotel Uptake 2032</t>
  </si>
  <si>
    <t>Rule of Half</t>
  </si>
  <si>
    <t>Distance walked</t>
  </si>
  <si>
    <t>Added width of sidewalk</t>
  </si>
  <si>
    <t>Covington Population Growth Rate</t>
  </si>
  <si>
    <t>ESRI Forecast 2022-2027</t>
  </si>
  <si>
    <t>Cycling health benefits</t>
  </si>
  <si>
    <t>2022 $ / trip</t>
  </si>
  <si>
    <t>Induced Trips within Applicable Age Range (20-64) - Cycling</t>
  </si>
  <si>
    <t>Proportion of Trips Induced from non-active transportation modes</t>
  </si>
  <si>
    <t>O - No Injury</t>
  </si>
  <si>
    <t>B - Non-incapacitating</t>
  </si>
  <si>
    <t>K - Killed</t>
  </si>
  <si>
    <t>Current Status &amp; Problem to be Addressed</t>
  </si>
  <si>
    <t>Change to Baseline/Alternatives</t>
  </si>
  <si>
    <t>Merit Criteria</t>
  </si>
  <si>
    <t>Economic Benefit</t>
  </si>
  <si>
    <t>Summary of Results 
(at 3.1% discount rate)</t>
  </si>
  <si>
    <t>Page Reference in BCA</t>
  </si>
  <si>
    <t>Plaza Benefits</t>
  </si>
  <si>
    <t>State of Good Repair</t>
  </si>
  <si>
    <t>Cycling Amenity Benefits</t>
  </si>
  <si>
    <t>O&amp;M Cost Savings</t>
  </si>
  <si>
    <t>Total Project Costs by Category and Year, in Undiscounted Millions of 2022 Dollars</t>
  </si>
  <si>
    <t>Year</t>
  </si>
  <si>
    <t>ROW</t>
  </si>
  <si>
    <t>Other Previously Incurred Costs</t>
  </si>
  <si>
    <t>Preliminary Engineering</t>
  </si>
  <si>
    <t>Construction</t>
  </si>
  <si>
    <t>Other</t>
  </si>
  <si>
    <t>Total</t>
  </si>
  <si>
    <t>No Build</t>
  </si>
  <si>
    <t>Build</t>
  </si>
  <si>
    <t>Change Between No Build and Build</t>
  </si>
  <si>
    <t>O&amp;M and R&amp;R</t>
  </si>
  <si>
    <t>KABCO Level</t>
  </si>
  <si>
    <t>C  - Possible Injury</t>
  </si>
  <si>
    <t xml:space="preserve">PDO </t>
  </si>
  <si>
    <t>Undiscounted</t>
  </si>
  <si>
    <t>Discounted</t>
  </si>
  <si>
    <t>Pedestrian</t>
  </si>
  <si>
    <t>Cycling</t>
  </si>
  <si>
    <t>Source</t>
  </si>
  <si>
    <t>BCA Metric</t>
  </si>
  <si>
    <t>Project Lifecycle</t>
  </si>
  <si>
    <t>Net Present Value (NPV)</t>
  </si>
  <si>
    <t>Benefit Cost Ratio (BCR)</t>
  </si>
  <si>
    <t>Internal Rate of Return (IRR)</t>
  </si>
  <si>
    <t>Payback Period (Years)</t>
  </si>
  <si>
    <t>Sensitivity Variable</t>
  </si>
  <si>
    <t>Sensitivity Value</t>
  </si>
  <si>
    <t xml:space="preserve">% Change in NPV </t>
  </si>
  <si>
    <t>Source / Notes</t>
  </si>
  <si>
    <t>Base results</t>
  </si>
  <si>
    <t>No Change to the Model</t>
  </si>
  <si>
    <t>General Discount Factor</t>
  </si>
  <si>
    <t>CO2 Discount Factor</t>
  </si>
  <si>
    <t>Base Year</t>
  </si>
  <si>
    <t>No Build O&amp;M and R&amp;R Costs</t>
  </si>
  <si>
    <t>2021 $</t>
  </si>
  <si>
    <t>Build O&amp;M and R&amp;R Costs</t>
  </si>
  <si>
    <t>Undiscounted O&amp;M and R&amp;R Cost Savings</t>
  </si>
  <si>
    <t>Discounted O&amp;M and R&amp;R Cost Savings</t>
  </si>
  <si>
    <t>Cycling Amenity Inputs</t>
  </si>
  <si>
    <t>Dedicated Cycling Lane Benefit</t>
  </si>
  <si>
    <t>Number of cyclists</t>
  </si>
  <si>
    <t>Population Growth Rate</t>
  </si>
  <si>
    <t>2010-2020 growth rate</t>
  </si>
  <si>
    <t>Additional 60% increase in demand associated with a build scenario</t>
  </si>
  <si>
    <t>Rule of half</t>
  </si>
  <si>
    <t>Cycling Mile Estimates</t>
  </si>
  <si>
    <t>Base Demand</t>
  </si>
  <si>
    <t>cycling trips</t>
  </si>
  <si>
    <t>Induced Demand</t>
  </si>
  <si>
    <t>Base Bike Demand Distance</t>
  </si>
  <si>
    <t>cycling miles</t>
  </si>
  <si>
    <t>Induced Bike Demand Distance</t>
  </si>
  <si>
    <t>Undiscounted Cycling Amenity Benefits</t>
  </si>
  <si>
    <t>Discounted Cycling Amenity Benefits</t>
  </si>
  <si>
    <t>Health Benefit Assumptions</t>
  </si>
  <si>
    <t>Undiscounted Health Benefits</t>
  </si>
  <si>
    <t>Discounted Health Benefits</t>
  </si>
  <si>
    <t>Emissions Benefits</t>
  </si>
  <si>
    <t>Damage Costs of Emissions</t>
  </si>
  <si>
    <t>CO2 Damage Costs</t>
  </si>
  <si>
    <t>2022 $/metric ton</t>
  </si>
  <si>
    <t>Nox Damage Costs</t>
  </si>
  <si>
    <t>PM2.5 Damage Costs</t>
  </si>
  <si>
    <t>Sox</t>
  </si>
  <si>
    <t>SOx Damage Costs</t>
  </si>
  <si>
    <t>Assumptions of Average Speed of 35 mph</t>
  </si>
  <si>
    <t>Passenger Vehicles</t>
  </si>
  <si>
    <t>CO2 Emissions Rate</t>
  </si>
  <si>
    <t>metric ton/mile</t>
  </si>
  <si>
    <t>NOX Emissions Rate</t>
  </si>
  <si>
    <t>PM2.5 Emissions Rate</t>
  </si>
  <si>
    <t>SO2</t>
  </si>
  <si>
    <t>SO2 Emissions Rate</t>
  </si>
  <si>
    <t>Average Bike Trip Distance</t>
  </si>
  <si>
    <t>Auto VMT diverted to bike</t>
  </si>
  <si>
    <t>veh-miles</t>
  </si>
  <si>
    <t xml:space="preserve">CO2 Emissions </t>
  </si>
  <si>
    <t>metric ton</t>
  </si>
  <si>
    <t xml:space="preserve">NOX Emissions </t>
  </si>
  <si>
    <t xml:space="preserve">PM2.5 Emissions </t>
  </si>
  <si>
    <t xml:space="preserve">SO2 Emissions </t>
  </si>
  <si>
    <t>Undiscounted Emissions Savings</t>
  </si>
  <si>
    <t>CO2 Emissions Cost Savings</t>
  </si>
  <si>
    <t>NOX Emissions Cost Savings</t>
  </si>
  <si>
    <t>PM2.5 Emissions Cost Savings</t>
  </si>
  <si>
    <t>SO2 Emissions Cost Savings</t>
  </si>
  <si>
    <t>Total Undiscounted Emissions Savings</t>
  </si>
  <si>
    <t>Discounted Emissions Savings</t>
  </si>
  <si>
    <t>Total Discounted Emissions Savings</t>
  </si>
  <si>
    <t xml:space="preserve">Expanded Sidewalk </t>
  </si>
  <si>
    <t>2022 $ / foot added / person-mile</t>
  </si>
  <si>
    <t>Undiscounted Pedestrian Amenity Benefits</t>
  </si>
  <si>
    <t>Prorated Cost of Phase II ROW</t>
  </si>
  <si>
    <t>Final Year of the Analysis</t>
  </si>
  <si>
    <t>Undiscounted Residual Value</t>
  </si>
  <si>
    <t>Discounted Residual Value</t>
  </si>
  <si>
    <t>Phase II Air Rights Value</t>
  </si>
  <si>
    <t>Year of Sale</t>
  </si>
  <si>
    <t>Undiscounted Repurposed ROW Benefit</t>
  </si>
  <si>
    <t>Discounted Repurposed ROW Benefit</t>
  </si>
  <si>
    <t xml:space="preserve">Residential </t>
  </si>
  <si>
    <t>Residential potential</t>
  </si>
  <si>
    <t>number</t>
  </si>
  <si>
    <t>If 100% occupied</t>
  </si>
  <si>
    <t>Number of per person daily trips</t>
  </si>
  <si>
    <t>Residential Uptake</t>
  </si>
  <si>
    <t>Uptake Ratio</t>
  </si>
  <si>
    <t>Number of daily residents</t>
  </si>
  <si>
    <t>Number of annual pedestrian trips</t>
  </si>
  <si>
    <t>Hotel</t>
  </si>
  <si>
    <t>Hotel potential</t>
  </si>
  <si>
    <t>Hotel uptake</t>
  </si>
  <si>
    <t>Discounted Pedetrian Amenity Benefits</t>
  </si>
  <si>
    <t>Inputs</t>
  </si>
  <si>
    <t>2022 $/ hour</t>
  </si>
  <si>
    <t>Daily Travel Time Savings (Residential)</t>
  </si>
  <si>
    <t>hours</t>
  </si>
  <si>
    <t>Travel Time Savings (Hotel)</t>
  </si>
  <si>
    <t>Annual Travel Time Savings Benefits</t>
  </si>
  <si>
    <t>Parking Benefits</t>
  </si>
  <si>
    <t>Distance to Kenton Parking</t>
  </si>
  <si>
    <t xml:space="preserve">Distance to Covington Parking </t>
  </si>
  <si>
    <t>AVO</t>
  </si>
  <si>
    <t>persons/ vehicle</t>
  </si>
  <si>
    <t>Walking Speed</t>
  </si>
  <si>
    <t>miles per hour</t>
  </si>
  <si>
    <t>Walking Travel Time Value</t>
  </si>
  <si>
    <t>Covington Central Riverfront Project</t>
  </si>
  <si>
    <t>Highway Safety Data</t>
  </si>
  <si>
    <t xml:space="preserve">To characterize the types and frequency of crashes occurring on Project facilities, crash data records were compiled for the years 2017 to 2021 by the Illinois Department of Transportation. The expected crash reductions depending on project treatments were estimated based on Crash Modification Factors (CMFs) obtained from FHWA’s CMF Clearinghouse. Finally, the expected reduction in crash rates was monetized using the factors provided in the US DOT BCA guidance. </t>
  </si>
  <si>
    <t>Crashes for Entire Project Limits</t>
  </si>
  <si>
    <t>Contract 70855</t>
  </si>
  <si>
    <t>Average Annual</t>
  </si>
  <si>
    <t>A - Incapcitating</t>
  </si>
  <si>
    <t>Improvements</t>
  </si>
  <si>
    <t>CRFs for Improvements</t>
  </si>
  <si>
    <t>CMF</t>
  </si>
  <si>
    <t>CRF</t>
  </si>
  <si>
    <t>Notes</t>
  </si>
  <si>
    <t>Improvement 1</t>
  </si>
  <si>
    <t>Improvement 2</t>
  </si>
  <si>
    <t>Improvement 3 (IDOT to confirm)</t>
  </si>
  <si>
    <t>Combined (Improvement 1&amp;2)</t>
  </si>
  <si>
    <t>Combined (Improvement 1&amp;3)</t>
  </si>
  <si>
    <t>City of Covington is expected to sell air rights of Phase II development. The following is an aggregate estimate for all Phase II air rights from City of Covington.</t>
  </si>
  <si>
    <t>Phase II Air Rights</t>
  </si>
  <si>
    <t>Escalation rate</t>
  </si>
  <si>
    <t xml:space="preserve">Source: City of Covington, 2024. </t>
  </si>
  <si>
    <t>O&amp;M Costs and Schedule 2022$</t>
  </si>
  <si>
    <t>Annual Maintenance Costs</t>
  </si>
  <si>
    <t>Covington Central Riverfront Park</t>
  </si>
  <si>
    <t>2023 $</t>
  </si>
  <si>
    <t>Source: City of Covington Department of Public Works, 2024</t>
  </si>
  <si>
    <t>Streets and Sidewalks</t>
  </si>
  <si>
    <t>Total Annual Maintenance</t>
  </si>
  <si>
    <t>Build O&amp;M (2022$)</t>
  </si>
  <si>
    <t>IL-9 Rehabilitation Project - Safety Data</t>
  </si>
  <si>
    <t>Contracts Map</t>
  </si>
  <si>
    <t>Contract 70F18</t>
  </si>
  <si>
    <t>Contract 70F19</t>
  </si>
  <si>
    <t>Contract 70F20</t>
  </si>
  <si>
    <t>Countermeasure</t>
  </si>
  <si>
    <t>Crash Modification Factor (CMF) ID</t>
  </si>
  <si>
    <t>Applicable Crash Type</t>
  </si>
  <si>
    <t>Applicable Crash Severity</t>
  </si>
  <si>
    <t>Increase shoulder width from 0 feet to 10 feet</t>
  </si>
  <si>
    <t>All</t>
  </si>
  <si>
    <t>Fatal + Injury</t>
  </si>
  <si>
    <t>CMF Clearinghouse; INVESTIGATING THE EFFECT OF ROADSIDE FEATURES ON SINGLE-VEHICLE ROADWAY DEPARTURE CRASHES ON RURAL TWO-LANE ROADS, YICHUAN PENG, SRINIVAS REDDY GEEDIPALLY, AND DOMINIQUE LORD, 2012</t>
  </si>
  <si>
    <t>Increase paved shoulder width from 4 to 6 ft</t>
  </si>
  <si>
    <t>CMF Clearinghouse; DEVELOPING CRASH MODIFICATION FACTORS FOR INTERCHANGE INFLUENCE AREAS ON URBAN FOUR-LANE FREEWAYS USING MULTIVARIATE ADAPTIVE REGRESSION SPLINES, HALEEM, GAN, AND LU, 2012</t>
  </si>
  <si>
    <t>Applied CMFs</t>
  </si>
  <si>
    <t>Note</t>
  </si>
  <si>
    <t>Fatal + Injury Crashes CMF</t>
  </si>
  <si>
    <t>Since the exact CMF for adding 7 ft shoulders from 0 ft wasn't available, the BCA assumes that the appropriate CMF is the average value of CMFs for 0 to 10 ft and 4 to 6 ft.</t>
  </si>
  <si>
    <t>Contract 70F21</t>
  </si>
  <si>
    <t>Market St &amp; Hershey Intersection</t>
  </si>
  <si>
    <t>Crash Type - Turning</t>
  </si>
  <si>
    <t>Crash Type - Front to Rear</t>
  </si>
  <si>
    <t>Lee St, includes Lee St &amp; Chestnut intersection</t>
  </si>
  <si>
    <t>Center St, where IL9 is being rerouted onto</t>
  </si>
  <si>
    <t>Future Crashes, after IL-9 is rerouted</t>
  </si>
  <si>
    <t>Current Crashes, before IL-9 is rerouted</t>
  </si>
  <si>
    <t>Project Limits where bike lanes will be added</t>
  </si>
  <si>
    <t>None, No bike lanes will be added</t>
  </si>
  <si>
    <t xml:space="preserve">All Contract 70F18 crashes </t>
  </si>
  <si>
    <t>All Contract 70F19 crashes minus Center St Crashes. There are no bike lanes on Center St</t>
  </si>
  <si>
    <t>All Contract 70F20 crashes</t>
  </si>
  <si>
    <t>Change surface condition from poor to good, CMF ID: 5627, Applicability: All crash types, Study:" ESTIMATION OF THE SAFETY EFFECT OF PAVEMENT CONDITION ON RURAL TWO-LANE HIGHWAYS, ZENG ET AL., 2014"</t>
  </si>
  <si>
    <t>Install bike lanes, CMF ID: 10743, Applicability: All crash types, Study, "DEVELOPMENT OF CRASH MODIFICATION FACTORS FOR BICYCLE LANE ADDITIONS WHILE REDUCING LANE AND SHOULDER WIDTHS, , 2021"</t>
  </si>
  <si>
    <t>Install left turn flashing yellow arrow signals and supplemental traffic signs, CMF ID: 7730, Applicability: Left turns, Study: "SAFETY EFFECTS OF TRAFFIC SIGNING FOR LEFT TURN FLASHING YELLOW ARROW SIGNALS, SCHATTLER ET AL., 2015"</t>
  </si>
  <si>
    <t>Improvement 3</t>
  </si>
  <si>
    <t>Emissions Rates</t>
  </si>
  <si>
    <t>Speed (mph)</t>
  </si>
  <si>
    <t xml:space="preserve">Grams per Metric Ton  </t>
  </si>
  <si>
    <t>Emissions Rate (metric tons/mile)</t>
  </si>
  <si>
    <t>Source: Calculations based on EPA MOVES Data</t>
  </si>
  <si>
    <t>MOVES Data</t>
  </si>
  <si>
    <t>yearID</t>
  </si>
  <si>
    <t>sourceTypeName</t>
  </si>
  <si>
    <t>Passenger Car</t>
  </si>
  <si>
    <t>fuelTypeDesc</t>
  </si>
  <si>
    <t>Gasoline</t>
  </si>
  <si>
    <t>Emissions Rate (g/mile)</t>
  </si>
  <si>
    <t>CO</t>
  </si>
  <si>
    <t>NOX</t>
  </si>
  <si>
    <t>PM10</t>
  </si>
  <si>
    <t>PM2.5</t>
  </si>
  <si>
    <t>VOC</t>
  </si>
  <si>
    <t>Notes:</t>
  </si>
  <si>
    <r>
      <t xml:space="preserve">1) We ran MOVES for county: </t>
    </r>
    <r>
      <rPr>
        <b/>
        <sz val="11"/>
        <color rgb="FFFF0000"/>
        <rFont val="Calibri"/>
        <family val="2"/>
        <scheme val="minor"/>
      </rPr>
      <t>Trenton County, Kentucky</t>
    </r>
  </si>
  <si>
    <r>
      <t xml:space="preserve">2) Emissions are available for the following years: </t>
    </r>
    <r>
      <rPr>
        <b/>
        <sz val="11"/>
        <color rgb="FFFF0000"/>
        <rFont val="Calibri"/>
        <family val="2"/>
        <scheme val="minor"/>
      </rPr>
      <t>2020, 2025, 2030, 2040 and 2050</t>
    </r>
  </si>
  <si>
    <r>
      <t xml:space="preserve">3) For autos, we are using </t>
    </r>
    <r>
      <rPr>
        <b/>
        <sz val="11"/>
        <color rgb="FFFF0000"/>
        <rFont val="Calibri"/>
        <family val="2"/>
        <scheme val="minor"/>
      </rPr>
      <t>Passenger Car</t>
    </r>
  </si>
  <si>
    <r>
      <t xml:space="preserve">4) Fuel type: </t>
    </r>
    <r>
      <rPr>
        <b/>
        <sz val="11"/>
        <color rgb="FFFF0000"/>
        <rFont val="Calibri"/>
        <family val="2"/>
        <scheme val="minor"/>
      </rPr>
      <t>Gasoline</t>
    </r>
    <r>
      <rPr>
        <sz val="11"/>
        <color theme="1"/>
        <rFont val="Calibri"/>
        <family val="2"/>
        <scheme val="minor"/>
      </rPr>
      <t xml:space="preserve"> for passenger cars</t>
    </r>
  </si>
  <si>
    <t>Construction Costs and Schedule (2022 $)</t>
  </si>
  <si>
    <t>Note: 2021 values are not de-escalated because they are already presented in 2022 $.</t>
  </si>
  <si>
    <t>Escalation Rate Assumption</t>
  </si>
  <si>
    <t>Construction Costs and Schedule (YOE $)</t>
  </si>
  <si>
    <t>2020 $</t>
  </si>
  <si>
    <t>YOE $</t>
  </si>
  <si>
    <t>Previously Incurred Costs</t>
  </si>
  <si>
    <t xml:space="preserve">City of Covington of purchased the former IRS site land for $20.5 million in 2020. </t>
  </si>
  <si>
    <t>Total Land ROW from IRS</t>
  </si>
  <si>
    <t>City of Covington</t>
  </si>
  <si>
    <t>Total ROW</t>
  </si>
  <si>
    <t>Legal Fees</t>
  </si>
  <si>
    <t>Geotechnical Engineering</t>
  </si>
  <si>
    <t>Environmental</t>
  </si>
  <si>
    <t>Project Management Consulting</t>
  </si>
  <si>
    <t>Demolition and Abatement</t>
  </si>
  <si>
    <t>Design and Engineering Consulting</t>
  </si>
  <si>
    <t>Cost-Benefit Analysis</t>
  </si>
  <si>
    <t>Traffic Impact Study</t>
  </si>
  <si>
    <t xml:space="preserve">Ongoing Maintenance </t>
  </si>
  <si>
    <t>Master Planning Consulting</t>
  </si>
  <si>
    <t>Total Previously Incurred Costs</t>
  </si>
  <si>
    <t>Goebel Park</t>
  </si>
  <si>
    <t>minutes</t>
  </si>
  <si>
    <t>Smale Riverfront Park</t>
  </si>
  <si>
    <t>General James Taylor Park</t>
  </si>
  <si>
    <t>Covington Plaza</t>
  </si>
  <si>
    <t>units</t>
  </si>
  <si>
    <t>trips</t>
  </si>
  <si>
    <t>Daily Travel Time Savings</t>
  </si>
  <si>
    <t>Average Park Distance</t>
  </si>
  <si>
    <t>Discounted Travel Time Savings</t>
  </si>
  <si>
    <t>Parking Units</t>
  </si>
  <si>
    <t>Trips</t>
  </si>
  <si>
    <t>Undiscounted Travel Time Savings</t>
  </si>
  <si>
    <t>Partial Benefits Factor (2027)</t>
  </si>
  <si>
    <t>City of Covington; cost estimate based on share of Phase II costs</t>
  </si>
  <si>
    <t>Source: City of Covington, 2024.</t>
  </si>
  <si>
    <t>2027 $</t>
  </si>
  <si>
    <t>Note: the air rights created in 2027</t>
  </si>
  <si>
    <t>Project Impacts and Benefits Summary, Monetary Values in Millions of 2022 Dollars</t>
  </si>
  <si>
    <t>Operations and Maintenance and Repair/Rehabilitation/Replacement Costs, in Undiscounted Millions of 2022 Dollars</t>
  </si>
  <si>
    <t>Benefit Cost Analysis Results, Millions of 2022 Dollars</t>
  </si>
  <si>
    <t>No Build O&amp;M (2022$)</t>
  </si>
  <si>
    <t>Change in O&amp;M (2022$)</t>
  </si>
  <si>
    <t>Pedestrian and Cycling Amenities Benefits, Millions of 2022 Dollars</t>
  </si>
  <si>
    <t>Bike Amenity Improvements</t>
  </si>
  <si>
    <t xml:space="preserve">  </t>
  </si>
  <si>
    <t>Mortality Reduction/ Health Benefits</t>
  </si>
  <si>
    <t>Google Maps</t>
  </si>
  <si>
    <t>Cycling Amenity Assumptions and Sources</t>
  </si>
  <si>
    <t>Pedestrian Amenity Assumptions and Sources</t>
  </si>
  <si>
    <t>Plaza Benefits Assumptions</t>
  </si>
  <si>
    <t>Plaza Amenities Benefits, Millions of 2022 Dollars</t>
  </si>
  <si>
    <t>Amenity</t>
  </si>
  <si>
    <t>Mortality Reduction (Health) Benefit - Cycling, Millions of 2022 Dollars</t>
  </si>
  <si>
    <t>Mortality Reduction (Health) Benefit Assumptions</t>
  </si>
  <si>
    <t>Emissions Benefit Assumptions</t>
  </si>
  <si>
    <t>Emissions Benefit, 2022 Dollars</t>
  </si>
  <si>
    <t>Parking Amenity Benefit Assumptions</t>
  </si>
  <si>
    <t>Parking Amenity Benefit, Millions of 2022 Dollars</t>
  </si>
  <si>
    <t>Discounted (3.1%)</t>
  </si>
  <si>
    <t>N/A</t>
  </si>
  <si>
    <t>NPV</t>
  </si>
  <si>
    <t>Analysis Period</t>
  </si>
  <si>
    <t>Benefit Cost Analysis Sensitivity Analysis, Millions of 2022 Dollars</t>
  </si>
  <si>
    <t>Benefit Categories</t>
  </si>
  <si>
    <t>Undiscounted 2022 $</t>
  </si>
  <si>
    <t>Discounted 2022 $</t>
  </si>
  <si>
    <t>Repurposed ROW (Value of Air Rights Created)</t>
  </si>
  <si>
    <t>Greenhouse gas emissions (GHG) avoided</t>
  </si>
  <si>
    <t>Undeveloped former IRS building</t>
  </si>
  <si>
    <t>All of the above</t>
  </si>
  <si>
    <t>Development of a complementary bike lane along Rivercenter and along Johnson St north of 3rd St as well as finished sidewalks along 3rd St.</t>
  </si>
  <si>
    <t>Build Induced Bike Demand Increase</t>
  </si>
  <si>
    <t>Residential Uptake 2027</t>
  </si>
  <si>
    <t>Hotel Uptake 2027</t>
  </si>
  <si>
    <t>Housing Units</t>
  </si>
  <si>
    <t>Hotel Units</t>
  </si>
  <si>
    <t>Residential Average Occupancy</t>
  </si>
  <si>
    <t>Hotel Average Occupancy</t>
  </si>
  <si>
    <t>Trips Per Day (Residential and Hotel)</t>
  </si>
  <si>
    <t>persons per unit</t>
  </si>
  <si>
    <t xml:space="preserve">                                </t>
  </si>
  <si>
    <t xml:space="preserve">   </t>
  </si>
  <si>
    <t>Residential</t>
  </si>
  <si>
    <t>Calculation</t>
  </si>
  <si>
    <t>"Bikeability and the induced demand for cycling" by Mogens Fosgerau et al</t>
  </si>
  <si>
    <t>Note: Construction includes contingency</t>
  </si>
  <si>
    <t>Redevelopment of land and implementation of utilities to make residential, plaza, and hotel development possible. Design of street trees, benches, etc. along 3rd street.</t>
  </si>
  <si>
    <t>Reconnecting Covington: Central Riverfront Hub Benefit-Cost Analysis Model</t>
  </si>
  <si>
    <t>City of Covington, KY</t>
  </si>
  <si>
    <t>Build Induced Bike Trips Factor</t>
  </si>
  <si>
    <t>Value of Walking Time</t>
  </si>
  <si>
    <t>City of Covington; J.S. Held LLC; Capital costs were estimated using a 0.5% monthly escalation (~6% annual escalation).</t>
  </si>
  <si>
    <t>Project information; construction is expected to end by the end of March 2027.</t>
  </si>
  <si>
    <t>Number of daily hotel guests</t>
  </si>
  <si>
    <t>Number of annual hotel guest trips</t>
  </si>
  <si>
    <t>Quality of Life
Mobility</t>
  </si>
  <si>
    <t>Quality of Life</t>
  </si>
  <si>
    <t>Sustainability</t>
  </si>
  <si>
    <t>Quality of Life
Innovation
Mobility
Safety</t>
  </si>
  <si>
    <t>Streets on site were demolished and fenced for 60 years, hence disrupting traffic patterns and creating high-volume traffic bottlenecks</t>
  </si>
  <si>
    <t>`</t>
  </si>
  <si>
    <t>Repurposed ROW Assumptions and Sources</t>
  </si>
  <si>
    <t>Source: City of Covington; BCA Assumption. With the mixed use development, the BCA assumes that in the first year only 50% of units would be occupied and that by year 2032 the occupancy rate will increase to 92%.</t>
  </si>
  <si>
    <t>Number of Annual Trips to Parking</t>
  </si>
  <si>
    <t>Per Trip Savings</t>
  </si>
  <si>
    <t>person-hours</t>
  </si>
  <si>
    <t>person-trips</t>
  </si>
  <si>
    <t>Distance to Alternative Parks</t>
  </si>
  <si>
    <t>Calculation; the BCA takes the average trip distance to alternative parks to value the benefit of having a public plaza</t>
  </si>
  <si>
    <t>Project Assumptions</t>
  </si>
  <si>
    <t>Number of Residential Units</t>
  </si>
  <si>
    <t>Residential Number of Occupants per Unit</t>
  </si>
  <si>
    <t>occupants/unit</t>
  </si>
  <si>
    <t>Number of Hotel Units</t>
  </si>
  <si>
    <t>Google maps</t>
  </si>
  <si>
    <t>Average Distance to Alternatives</t>
  </si>
  <si>
    <t>Time to Covington Central Riverfront Plaza</t>
  </si>
  <si>
    <t>Travel Time to Covington Plaza for Residents</t>
  </si>
  <si>
    <t>Travel time to Covington Plaza for Hotel Residents</t>
  </si>
  <si>
    <t>BCA Calculation</t>
  </si>
  <si>
    <t>Distance to Covington Plaza Parking Garage (Alternative)</t>
  </si>
  <si>
    <t>Distance to Kenton County Parking (Phase II)</t>
  </si>
  <si>
    <t>Average Vehicle Occupancy</t>
  </si>
  <si>
    <t>CO2 Emissions Savings</t>
  </si>
  <si>
    <t>Nox Emissions Savings</t>
  </si>
  <si>
    <t>PM2.5 Emissions Savings</t>
  </si>
  <si>
    <t>SO2 Emissions Savings</t>
  </si>
  <si>
    <t>Benefit</t>
  </si>
  <si>
    <t>Metric Tons</t>
  </si>
  <si>
    <t>O&amp;M Savings</t>
  </si>
  <si>
    <t>30 years</t>
  </si>
  <si>
    <t>Extending the analysis period to 30 years.</t>
  </si>
  <si>
    <t>Final Year</t>
  </si>
  <si>
    <t>Assigning the repurposed ROW benefit to the final year of the analysis.</t>
  </si>
  <si>
    <t>Uptake Parameter</t>
  </si>
  <si>
    <t>Max occupancy reached in 2030</t>
  </si>
  <si>
    <t xml:space="preserve">Assuming that the residential and hotel occupancy peak can be reached in 2030 instead of 2032.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</si>
</sst>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8" formatCode="&quot;$&quot;#,##0.00_);[Red]\(&quot;$&quot;#,##0.00\)"/>
    <numFmt numFmtId="44" formatCode="_(&quot;$&quot;* #,##0.00_);_(&quot;$&quot;* \(#,##0.00\);_(&quot;$&quot;* &quot;-&quot;??_);_(@_)"/>
    <numFmt numFmtId="43" formatCode="_(* #,##0.00_);_(* \(#,##0.00\);_(* &quot;-&quot;??_);_(@_)"/>
    <numFmt numFmtId="164" formatCode="#,##0.0000_);\(#,##0.0000\);&quot;-  &quot;;&quot; &quot;@"/>
    <numFmt numFmtId="165" formatCode="#,##0.00_);\(#,##0.00\);&quot;-  &quot;;&quot; &quot;@"/>
    <numFmt numFmtId="166" formatCode="0.0%"/>
    <numFmt numFmtId="167" formatCode="#,##0_);\(#,##0\);&quot;-  &quot;;&quot; &quot;@"/>
    <numFmt numFmtId="168" formatCode="_(* #,##0_);_(* \(#,##0\);_(* &quot;-&quot;??_);_(@_)"/>
    <numFmt numFmtId="169" formatCode="dd/mmm/yyyy_);;&quot;-  &quot;;&quot; &quot;@"/>
    <numFmt numFmtId="170" formatCode="&quot;$&quot;#,##0"/>
    <numFmt numFmtId="171" formatCode="_(* #,##0.0_);_(* \(#,##0.0\);_(* &quot;-&quot;??_);_(@_)"/>
    <numFmt numFmtId="172" formatCode="&quot;$&quot;#,##0.0"/>
    <numFmt numFmtId="173" formatCode="&quot;$&quot;#,##0.0_);[Red]\(&quot;$&quot;#,##0.0\)"/>
    <numFmt numFmtId="174" formatCode="0.0"/>
    <numFmt numFmtId="175" formatCode="&quot;$&quot;#,##0.00"/>
    <numFmt numFmtId="176" formatCode="_(&quot;$&quot;#,##0_);_(* \(#,##0\);_(* &quot;-&quot;??_);_(@_)"/>
    <numFmt numFmtId="177" formatCode="0.000"/>
    <numFmt numFmtId="178" formatCode="_(* #,##0.00_);_(* \(#,##0.00\);_(* &quot;-&quot;?_);_(@_)"/>
    <numFmt numFmtId="179" formatCode="_(* #,##0_);_(* \(#,##0\);_(* &quot;-&quot;?_);_(@_)"/>
    <numFmt numFmtId="180" formatCode="#,##0.000"/>
    <numFmt numFmtId="181" formatCode="0.00000"/>
    <numFmt numFmtId="182" formatCode="_(* #,##0.0_);_(* \(#,##0.0\);_(* &quot;-&quot;?_);_(@_)"/>
    <numFmt numFmtId="183" formatCode="0.00000000"/>
    <numFmt numFmtId="184" formatCode="0.00000000000"/>
    <numFmt numFmtId="185" formatCode="#,##0.000000"/>
    <numFmt numFmtId="186" formatCode="_(* #,##0.000000000_);_(* \(#,##0.000000000\);_(* &quot;-&quot;??_);_(@_)"/>
    <numFmt numFmtId="187" formatCode="_(* #,##0.000_);_(* \(#,##0.000\);_(* &quot;-&quot;??_);_(@_)"/>
    <numFmt numFmtId="188" formatCode="_(* #,##0.0000_);_(* \(#,##0.0000\);_(* &quot;-&quot;??_);_(@_)"/>
    <numFmt numFmtId="189" formatCode="&quot;$&quot;#,##0.0_);\(&quot;$&quot;#,##0.0\)"/>
  </numFmts>
  <fonts count="5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1"/>
      <color indexed="12"/>
      <name val="Calibri"/>
      <family val="2"/>
      <scheme val="minor"/>
    </font>
    <font>
      <sz val="11"/>
      <color indexed="10"/>
      <name val="Calibri"/>
      <family val="2"/>
      <scheme val="minor"/>
    </font>
    <font>
      <i/>
      <sz val="11"/>
      <color theme="7"/>
      <name val="Calibri"/>
      <family val="2"/>
      <scheme val="minor"/>
    </font>
    <font>
      <u/>
      <sz val="7.7"/>
      <color theme="10"/>
      <name val="Calibri"/>
      <family val="2"/>
    </font>
    <font>
      <i/>
      <sz val="11"/>
      <color theme="1"/>
      <name val="Calibri"/>
      <family val="2"/>
      <scheme val="minor"/>
    </font>
    <font>
      <sz val="11"/>
      <name val="Calibri"/>
      <family val="2"/>
      <scheme val="minor"/>
    </font>
    <font>
      <sz val="11"/>
      <color theme="1"/>
      <name val="Calibri"/>
      <family val="2"/>
    </font>
    <font>
      <b/>
      <sz val="11"/>
      <name val="Calibri"/>
      <family val="2"/>
      <scheme val="minor"/>
    </font>
    <font>
      <u/>
      <sz val="11"/>
      <color theme="1"/>
      <name val="Calibri"/>
      <family val="2"/>
      <scheme val="minor"/>
    </font>
    <font>
      <sz val="10"/>
      <name val="Arial"/>
      <family val="2"/>
    </font>
    <font>
      <b/>
      <u/>
      <sz val="11"/>
      <color theme="1"/>
      <name val="Calibri"/>
      <family val="2"/>
      <scheme val="minor"/>
    </font>
    <font>
      <u/>
      <sz val="11"/>
      <name val="Calibri"/>
      <family val="2"/>
      <scheme val="minor"/>
    </font>
    <font>
      <b/>
      <sz val="11"/>
      <color rgb="FFFF0000"/>
      <name val="Calibri"/>
      <family val="2"/>
      <scheme val="minor"/>
    </font>
    <font>
      <b/>
      <u/>
      <sz val="12"/>
      <color rgb="FFFF0000"/>
      <name val="Calibri"/>
      <family val="2"/>
      <scheme val="minor"/>
    </font>
    <font>
      <u/>
      <sz val="11"/>
      <color rgb="FFFF0000"/>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b/>
      <i/>
      <sz val="11"/>
      <name val="Calibri"/>
      <family val="2"/>
    </font>
    <font>
      <b/>
      <sz val="11"/>
      <color theme="1"/>
      <name val="Calibri"/>
      <family val="2"/>
    </font>
    <font>
      <b/>
      <u/>
      <sz val="12"/>
      <name val="Calibri"/>
      <family val="2"/>
      <scheme val="minor"/>
    </font>
    <font>
      <sz val="11"/>
      <color indexed="8"/>
      <name val="Calibri"/>
      <family val="2"/>
      <scheme val="minor"/>
    </font>
    <font>
      <sz val="11"/>
      <color theme="2" tint="-0.249977111117893"/>
      <name val="Calibri"/>
      <family val="2"/>
      <scheme val="minor"/>
    </font>
    <font>
      <sz val="11"/>
      <color rgb="FF0000FF"/>
      <name val="Calibri"/>
      <family val="2"/>
      <scheme val="minor"/>
    </font>
    <font>
      <b/>
      <sz val="10"/>
      <color theme="1"/>
      <name val="Times New Roman"/>
      <family val="1"/>
    </font>
    <font>
      <sz val="10"/>
      <color theme="1"/>
      <name val="Times New Roman"/>
      <family val="1"/>
    </font>
    <font>
      <i/>
      <sz val="11"/>
      <color rgb="FFFF0000"/>
      <name val="Calibri"/>
      <family val="2"/>
      <scheme val="minor"/>
    </font>
    <font>
      <b/>
      <sz val="11"/>
      <color rgb="FFC00000"/>
      <name val="Calibri"/>
      <family val="2"/>
      <scheme val="minor"/>
    </font>
    <font>
      <sz val="10"/>
      <name val="Times New Roman"/>
      <family val="1"/>
    </font>
    <font>
      <b/>
      <sz val="10"/>
      <name val="Times New Roman"/>
      <family val="1"/>
    </font>
    <font>
      <b/>
      <sz val="10"/>
      <color rgb="FFFF0000"/>
      <name val="Times New Roman"/>
      <family val="1"/>
    </font>
    <font>
      <sz val="9"/>
      <color indexed="81"/>
      <name val="Tahoma"/>
      <family val="2"/>
    </font>
    <font>
      <b/>
      <sz val="9"/>
      <color indexed="81"/>
      <name val="Tahoma"/>
      <family val="2"/>
    </font>
    <font>
      <b/>
      <u/>
      <sz val="12"/>
      <color theme="5"/>
      <name val="Calibri"/>
      <family val="2"/>
      <scheme val="minor"/>
    </font>
    <font>
      <sz val="9"/>
      <color theme="1"/>
      <name val="Gill Sans MT"/>
      <family val="2"/>
    </font>
    <font>
      <sz val="11"/>
      <color theme="2" tint="-0.499984740745262"/>
      <name val="Calibri"/>
      <family val="2"/>
      <scheme val="minor"/>
    </font>
    <font>
      <sz val="11"/>
      <color theme="1"/>
      <name val="Calibri"/>
    </font>
    <font>
      <sz val="11"/>
      <color theme="0"/>
      <name val="Calibri"/>
    </font>
    <font>
      <b/>
      <sz val="11"/>
      <color theme="0"/>
      <name val="Calibri"/>
    </font>
    <font>
      <b/>
      <sz val="11"/>
      <color rgb="FF000000"/>
      <name val="Calibri"/>
    </font>
    <font>
      <i/>
      <sz val="11"/>
      <color theme="1"/>
      <name val="Calibri"/>
    </font>
    <font>
      <b/>
      <sz val="11"/>
      <color theme="1"/>
      <name val="Calibri"/>
    </font>
    <font>
      <sz val="11"/>
      <color theme="2"/>
      <name val="Calibri"/>
      <family val="2"/>
      <scheme val="minor"/>
    </font>
    <font>
      <b/>
      <u/>
      <sz val="11"/>
      <color rgb="FF000000"/>
      <name val="Calibri"/>
      <family val="2"/>
    </font>
    <font>
      <u/>
      <sz val="11"/>
      <color rgb="FF000000"/>
      <name val="Calibri"/>
      <family val="2"/>
    </font>
    <font>
      <b/>
      <sz val="11"/>
      <color rgb="FF000000"/>
      <name val="Calibri"/>
      <family val="2"/>
    </font>
    <font>
      <sz val="11"/>
      <color rgb="FF000000"/>
      <name val="Calibri"/>
      <family val="2"/>
    </font>
    <font>
      <sz val="11"/>
      <color rgb="FFFF0000"/>
      <name val="Calibri"/>
      <family val="2"/>
    </font>
    <font>
      <sz val="11"/>
      <color rgb="FF0000FF"/>
      <name val="Calibri"/>
      <family val="2"/>
    </font>
    <font>
      <sz val="11"/>
      <name val="Calibri"/>
      <family val="2"/>
    </font>
    <font>
      <i/>
      <sz val="10"/>
      <name val="Times New Roman"/>
      <family val="1"/>
    </font>
    <font>
      <sz val="11"/>
      <name val="Calibri"/>
    </font>
    <font>
      <b/>
      <sz val="11"/>
      <name val="Times New Roman"/>
      <family val="1"/>
    </font>
  </fonts>
  <fills count="26">
    <fill>
      <patternFill patternType="none"/>
    </fill>
    <fill>
      <patternFill patternType="gray125"/>
    </fill>
    <fill>
      <patternFill patternType="solid">
        <fgColor theme="8"/>
        <bgColor indexed="64"/>
      </patternFill>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theme="7"/>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99"/>
        <bgColor rgb="FF000000"/>
      </patternFill>
    </fill>
    <fill>
      <patternFill patternType="solid">
        <fgColor theme="3" tint="-0.499984740745262"/>
        <bgColor indexed="64"/>
      </patternFill>
    </fill>
    <fill>
      <patternFill patternType="solid">
        <fgColor theme="4" tint="0.59999389629810485"/>
        <bgColor indexed="64"/>
      </patternFill>
    </fill>
    <fill>
      <patternFill patternType="solid">
        <fgColor theme="2" tint="-0.749992370372631"/>
        <bgColor indexed="64"/>
      </patternFill>
    </fill>
    <fill>
      <patternFill patternType="solid">
        <fgColor rgb="FFEBF1DE"/>
        <bgColor rgb="FF000000"/>
      </patternFill>
    </fill>
    <fill>
      <patternFill patternType="solid">
        <fgColor theme="5" tint="0.79998168889431442"/>
        <bgColor indexed="64"/>
      </patternFill>
    </fill>
    <fill>
      <patternFill patternType="solid">
        <fgColor theme="4" tint="0.79998168889431442"/>
        <bgColor rgb="FF000000"/>
      </patternFill>
    </fill>
    <fill>
      <patternFill patternType="solid">
        <fgColor theme="0" tint="-0.249977111117893"/>
        <bgColor indexed="64"/>
      </patternFill>
    </fill>
  </fills>
  <borders count="20">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164" fontId="14" fillId="0" borderId="0" applyFont="0" applyFill="0" applyBorder="0" applyAlignment="0" applyProtection="0"/>
    <xf numFmtId="169" fontId="14" fillId="0" borderId="0" applyFont="0" applyFill="0" applyBorder="0" applyAlignment="0" applyProtection="0"/>
    <xf numFmtId="0" fontId="20" fillId="0" borderId="0" applyNumberFormat="0" applyFill="0" applyBorder="0" applyAlignment="0" applyProtection="0"/>
    <xf numFmtId="0" fontId="26" fillId="0" borderId="0"/>
    <xf numFmtId="0" fontId="39" fillId="0" borderId="0"/>
    <xf numFmtId="0" fontId="1" fillId="0" borderId="0"/>
    <xf numFmtId="9" fontId="39" fillId="0" borderId="0" applyFont="0" applyFill="0" applyBorder="0" applyAlignment="0" applyProtection="0"/>
    <xf numFmtId="43" fontId="39" fillId="0" borderId="0" applyFont="0" applyFill="0" applyBorder="0" applyAlignment="0" applyProtection="0"/>
    <xf numFmtId="44" fontId="1" fillId="0" borderId="0" applyFont="0" applyFill="0" applyBorder="0" applyAlignment="0" applyProtection="0"/>
  </cellStyleXfs>
  <cellXfs count="408">
    <xf numFmtId="0" fontId="0" fillId="0" borderId="0" xfId="0"/>
    <xf numFmtId="0" fontId="0" fillId="0" borderId="1" xfId="0" applyBorder="1"/>
    <xf numFmtId="0" fontId="4" fillId="0" borderId="1" xfId="0" applyFont="1" applyBorder="1"/>
    <xf numFmtId="0" fontId="3" fillId="0" borderId="1" xfId="0" applyFont="1"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6" fillId="0" borderId="1" xfId="0" applyFont="1" applyBorder="1"/>
    <xf numFmtId="0" fontId="3" fillId="0" borderId="0" xfId="0" applyFont="1"/>
    <xf numFmtId="0" fontId="13" fillId="0" borderId="0" xfId="0" applyFont="1"/>
    <xf numFmtId="0" fontId="10" fillId="0" borderId="0" xfId="0" applyFont="1"/>
    <xf numFmtId="0" fontId="5" fillId="0" borderId="0" xfId="0" applyFont="1"/>
    <xf numFmtId="165" fontId="10" fillId="0" borderId="0" xfId="4" applyNumberFormat="1" applyFont="1" applyFill="1" applyBorder="1"/>
    <xf numFmtId="0" fontId="0" fillId="9" borderId="0" xfId="0" applyFill="1"/>
    <xf numFmtId="0" fontId="9" fillId="0" borderId="0" xfId="0" applyFont="1"/>
    <xf numFmtId="0" fontId="0" fillId="0" borderId="0" xfId="0" applyAlignment="1">
      <alignment horizontal="center"/>
    </xf>
    <xf numFmtId="0" fontId="15" fillId="0" borderId="0" xfId="0" applyFont="1"/>
    <xf numFmtId="0" fontId="3" fillId="0" borderId="0" xfId="0" applyFont="1" applyAlignment="1">
      <alignment horizontal="center"/>
    </xf>
    <xf numFmtId="0" fontId="16" fillId="0" borderId="0" xfId="0" applyFont="1"/>
    <xf numFmtId="0" fontId="17" fillId="0" borderId="0" xfId="0" applyFont="1"/>
    <xf numFmtId="0" fontId="0" fillId="0" borderId="0" xfId="0" applyAlignment="1">
      <alignment wrapText="1"/>
    </xf>
    <xf numFmtId="167" fontId="0" fillId="0" borderId="0" xfId="4" applyNumberFormat="1" applyFont="1" applyBorder="1"/>
    <xf numFmtId="0" fontId="2" fillId="0" borderId="0" xfId="0" applyFont="1"/>
    <xf numFmtId="43" fontId="3" fillId="0" borderId="0" xfId="0" applyNumberFormat="1" applyFont="1"/>
    <xf numFmtId="164" fontId="18" fillId="0" borderId="0" xfId="4" applyFont="1" applyBorder="1"/>
    <xf numFmtId="0" fontId="19" fillId="0" borderId="0" xfId="0" applyFont="1"/>
    <xf numFmtId="0" fontId="17" fillId="0" borderId="0" xfId="0" applyFont="1" applyAlignment="1">
      <alignment horizontal="center"/>
    </xf>
    <xf numFmtId="0" fontId="5" fillId="0" borderId="0" xfId="0" applyFont="1" applyAlignment="1">
      <alignment horizontal="center"/>
    </xf>
    <xf numFmtId="0" fontId="15" fillId="0" borderId="0" xfId="0" applyFont="1" applyAlignment="1">
      <alignment wrapText="1"/>
    </xf>
    <xf numFmtId="165" fontId="5" fillId="0" borderId="0" xfId="4" applyNumberFormat="1" applyFont="1" applyFill="1" applyBorder="1" applyAlignment="1">
      <alignment horizontal="right"/>
    </xf>
    <xf numFmtId="0" fontId="10" fillId="0" borderId="0" xfId="0" applyFont="1" applyAlignment="1">
      <alignment horizontal="center"/>
    </xf>
    <xf numFmtId="167" fontId="10" fillId="0" borderId="0" xfId="4" applyNumberFormat="1" applyFont="1" applyBorder="1"/>
    <xf numFmtId="0" fontId="0" fillId="0" borderId="0" xfId="0" applyAlignment="1">
      <alignment horizontal="left"/>
    </xf>
    <xf numFmtId="0" fontId="3" fillId="0" borderId="0" xfId="0" applyFont="1" applyAlignment="1">
      <alignment wrapText="1"/>
    </xf>
    <xf numFmtId="0" fontId="12" fillId="0" borderId="0" xfId="0" applyFont="1"/>
    <xf numFmtId="0" fontId="0" fillId="0" borderId="0" xfId="0" applyAlignment="1">
      <alignment horizontal="left" vertical="center" wrapText="1"/>
    </xf>
    <xf numFmtId="0" fontId="0" fillId="12" borderId="1" xfId="0" applyFill="1" applyBorder="1"/>
    <xf numFmtId="0" fontId="7" fillId="9" borderId="1" xfId="0" applyFont="1" applyFill="1" applyBorder="1"/>
    <xf numFmtId="0" fontId="21" fillId="0" borderId="0" xfId="0" applyFont="1" applyAlignment="1">
      <alignment vertical="center"/>
    </xf>
    <xf numFmtId="172" fontId="21" fillId="0" borderId="0" xfId="0" applyNumberFormat="1" applyFont="1" applyAlignment="1">
      <alignment vertical="center"/>
    </xf>
    <xf numFmtId="0" fontId="22" fillId="0" borderId="0" xfId="0" applyFont="1" applyAlignment="1">
      <alignment vertical="center"/>
    </xf>
    <xf numFmtId="0" fontId="3" fillId="0" borderId="0" xfId="0" applyFont="1" applyAlignment="1">
      <alignment vertical="center"/>
    </xf>
    <xf numFmtId="0" fontId="22" fillId="0" borderId="0" xfId="0"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right" vertical="center"/>
    </xf>
    <xf numFmtId="172" fontId="0" fillId="0" borderId="0" xfId="0" applyNumberFormat="1"/>
    <xf numFmtId="172" fontId="0" fillId="0" borderId="0" xfId="0" applyNumberFormat="1" applyAlignment="1">
      <alignment horizontal="center"/>
    </xf>
    <xf numFmtId="174" fontId="0" fillId="0" borderId="0" xfId="0" applyNumberFormat="1" applyAlignment="1">
      <alignment horizontal="center"/>
    </xf>
    <xf numFmtId="0" fontId="0" fillId="0" borderId="0" xfId="0" applyAlignment="1">
      <alignment horizontal="center" vertical="center" wrapText="1"/>
    </xf>
    <xf numFmtId="0" fontId="0" fillId="10" borderId="5" xfId="0" applyFill="1" applyBorder="1" applyAlignment="1">
      <alignment horizontal="center" vertical="center" wrapText="1"/>
    </xf>
    <xf numFmtId="0" fontId="0" fillId="0" borderId="0" xfId="0" applyAlignment="1">
      <alignment horizontal="left" vertical="center"/>
    </xf>
    <xf numFmtId="0" fontId="23" fillId="0" borderId="0" xfId="0" applyFont="1"/>
    <xf numFmtId="0" fontId="11" fillId="0" borderId="0" xfId="0" applyFont="1"/>
    <xf numFmtId="170" fontId="0" fillId="0" borderId="0" xfId="0" applyNumberFormat="1" applyAlignment="1">
      <alignment horizontal="center"/>
    </xf>
    <xf numFmtId="0" fontId="0" fillId="14" borderId="0" xfId="0" applyFill="1" applyAlignment="1">
      <alignment horizontal="center"/>
    </xf>
    <xf numFmtId="170" fontId="0" fillId="14" borderId="0" xfId="0" applyNumberFormat="1" applyFill="1" applyAlignment="1">
      <alignment horizontal="center"/>
    </xf>
    <xf numFmtId="2" fontId="0" fillId="0" borderId="0" xfId="0" applyNumberFormat="1" applyAlignment="1">
      <alignment horizontal="center"/>
    </xf>
    <xf numFmtId="9" fontId="0" fillId="0" borderId="0" xfId="0" applyNumberFormat="1" applyAlignment="1">
      <alignment horizontal="center"/>
    </xf>
    <xf numFmtId="170" fontId="3" fillId="0" borderId="0" xfId="4" applyNumberFormat="1" applyFont="1" applyBorder="1"/>
    <xf numFmtId="0" fontId="3" fillId="13" borderId="0" xfId="0" applyFont="1" applyFill="1" applyAlignment="1">
      <alignment horizontal="left" vertical="center"/>
    </xf>
    <xf numFmtId="0" fontId="3" fillId="13" borderId="0" xfId="0" applyFont="1" applyFill="1" applyAlignment="1">
      <alignment horizontal="center" vertical="center" wrapText="1"/>
    </xf>
    <xf numFmtId="0" fontId="3" fillId="13" borderId="0" xfId="0" applyFont="1" applyFill="1" applyAlignment="1">
      <alignment horizontal="left" vertical="center" wrapText="1"/>
    </xf>
    <xf numFmtId="176" fontId="3" fillId="0" borderId="0" xfId="0" applyNumberFormat="1" applyFont="1"/>
    <xf numFmtId="164" fontId="25" fillId="0" borderId="0" xfId="4" applyFont="1" applyBorder="1"/>
    <xf numFmtId="0" fontId="12" fillId="0" borderId="0" xfId="0" applyFont="1" applyAlignment="1">
      <alignment horizontal="center"/>
    </xf>
    <xf numFmtId="170" fontId="10" fillId="0" borderId="0" xfId="4" applyNumberFormat="1" applyFont="1" applyBorder="1"/>
    <xf numFmtId="170" fontId="12" fillId="0" borderId="0" xfId="4" applyNumberFormat="1" applyFont="1" applyBorder="1"/>
    <xf numFmtId="170" fontId="1" fillId="0" borderId="0" xfId="4" applyNumberFormat="1" applyFont="1" applyBorder="1"/>
    <xf numFmtId="176" fontId="0" fillId="0" borderId="0" xfId="0" applyNumberFormat="1"/>
    <xf numFmtId="170" fontId="3" fillId="0" borderId="0" xfId="0" applyNumberFormat="1" applyFont="1" applyAlignment="1">
      <alignment horizontal="center"/>
    </xf>
    <xf numFmtId="1" fontId="0" fillId="10" borderId="0" xfId="0" applyNumberFormat="1" applyFill="1" applyAlignment="1">
      <alignment horizontal="center"/>
    </xf>
    <xf numFmtId="2" fontId="21" fillId="0" borderId="0" xfId="0" applyNumberFormat="1" applyFont="1" applyAlignment="1">
      <alignment horizontal="center" vertical="center"/>
    </xf>
    <xf numFmtId="170" fontId="12" fillId="0" borderId="0" xfId="0" applyNumberFormat="1" applyFont="1"/>
    <xf numFmtId="0" fontId="15" fillId="15" borderId="0" xfId="0" applyFont="1" applyFill="1"/>
    <xf numFmtId="0" fontId="13" fillId="15" borderId="0" xfId="0" applyFont="1" applyFill="1"/>
    <xf numFmtId="0" fontId="0" fillId="15" borderId="0" xfId="0" applyFill="1"/>
    <xf numFmtId="0" fontId="3" fillId="15" borderId="0" xfId="0" applyFont="1" applyFill="1" applyAlignment="1">
      <alignment horizontal="center"/>
    </xf>
    <xf numFmtId="167" fontId="0" fillId="15" borderId="0" xfId="4" applyNumberFormat="1" applyFont="1" applyFill="1" applyBorder="1"/>
    <xf numFmtId="0" fontId="3" fillId="15" borderId="0" xfId="0" applyFont="1" applyFill="1"/>
    <xf numFmtId="170" fontId="3" fillId="15" borderId="0" xfId="4" applyNumberFormat="1" applyFont="1" applyFill="1" applyBorder="1"/>
    <xf numFmtId="3" fontId="1" fillId="0" borderId="0" xfId="4" applyNumberFormat="1" applyFont="1" applyBorder="1"/>
    <xf numFmtId="0" fontId="3" fillId="13" borderId="0" xfId="0" applyFont="1" applyFill="1" applyAlignment="1">
      <alignment horizontal="center" vertical="center"/>
    </xf>
    <xf numFmtId="0" fontId="0" fillId="0" borderId="0" xfId="0" applyAlignment="1">
      <alignment horizontal="center" vertical="center"/>
    </xf>
    <xf numFmtId="168" fontId="0" fillId="0" borderId="0" xfId="0" applyNumberFormat="1"/>
    <xf numFmtId="166" fontId="3" fillId="0" borderId="0" xfId="0" applyNumberFormat="1" applyFont="1" applyAlignment="1">
      <alignment horizontal="center"/>
    </xf>
    <xf numFmtId="2" fontId="3" fillId="0" borderId="0" xfId="0" applyNumberFormat="1" applyFont="1" applyAlignment="1">
      <alignment horizontal="center"/>
    </xf>
    <xf numFmtId="1" fontId="0" fillId="0" borderId="0" xfId="0" applyNumberFormat="1" applyAlignment="1">
      <alignment horizontal="center"/>
    </xf>
    <xf numFmtId="170" fontId="0" fillId="13" borderId="0" xfId="0" applyNumberFormat="1" applyFill="1" applyAlignment="1">
      <alignment horizontal="center"/>
    </xf>
    <xf numFmtId="0" fontId="9" fillId="0" borderId="0" xfId="0" applyFont="1" applyAlignment="1">
      <alignment horizontal="left"/>
    </xf>
    <xf numFmtId="43" fontId="10" fillId="0" borderId="0" xfId="1" applyFont="1"/>
    <xf numFmtId="168" fontId="10" fillId="0" borderId="0" xfId="1" applyNumberFormat="1" applyFont="1"/>
    <xf numFmtId="168" fontId="10" fillId="0" borderId="0" xfId="1" applyNumberFormat="1" applyFont="1" applyAlignment="1">
      <alignment horizontal="right"/>
    </xf>
    <xf numFmtId="0" fontId="28" fillId="0" borderId="1" xfId="0" applyFont="1" applyBorder="1"/>
    <xf numFmtId="0" fontId="28" fillId="0" borderId="5" xfId="0" applyFont="1" applyBorder="1" applyAlignment="1">
      <alignment horizontal="center"/>
    </xf>
    <xf numFmtId="2" fontId="28" fillId="0" borderId="5" xfId="0" applyNumberFormat="1" applyFont="1" applyBorder="1" applyAlignment="1">
      <alignment horizontal="center"/>
    </xf>
    <xf numFmtId="171" fontId="10" fillId="0" borderId="0" xfId="1" applyNumberFormat="1" applyFont="1" applyFill="1"/>
    <xf numFmtId="2" fontId="10" fillId="0" borderId="0" xfId="2" applyNumberFormat="1" applyFont="1" applyFill="1"/>
    <xf numFmtId="168" fontId="28" fillId="0" borderId="0" xfId="1" applyNumberFormat="1" applyFont="1" applyFill="1"/>
    <xf numFmtId="2" fontId="28" fillId="0" borderId="0" xfId="2" applyNumberFormat="1" applyFont="1" applyFill="1"/>
    <xf numFmtId="176" fontId="28" fillId="0" borderId="0" xfId="0" applyNumberFormat="1" applyFont="1"/>
    <xf numFmtId="176" fontId="27" fillId="0" borderId="0" xfId="0" applyNumberFormat="1" applyFont="1"/>
    <xf numFmtId="0" fontId="27" fillId="0" borderId="0" xfId="0" applyFont="1"/>
    <xf numFmtId="170" fontId="21" fillId="13" borderId="0" xfId="0" applyNumberFormat="1" applyFont="1" applyFill="1" applyAlignment="1">
      <alignment horizontal="center" vertical="center"/>
    </xf>
    <xf numFmtId="170" fontId="3" fillId="13" borderId="0" xfId="0" applyNumberFormat="1" applyFont="1" applyFill="1" applyAlignment="1">
      <alignment horizontal="center"/>
    </xf>
    <xf numFmtId="0" fontId="32" fillId="0" borderId="0" xfId="0" applyFont="1"/>
    <xf numFmtId="1" fontId="22" fillId="0" borderId="0" xfId="0" applyNumberFormat="1" applyFont="1" applyAlignment="1">
      <alignment horizontal="center" vertical="center"/>
    </xf>
    <xf numFmtId="0" fontId="30" fillId="0" borderId="5" xfId="0" applyFont="1" applyBorder="1" applyAlignment="1">
      <alignment horizontal="center" vertical="center" wrapText="1"/>
    </xf>
    <xf numFmtId="166" fontId="28" fillId="0" borderId="5" xfId="2" applyNumberFormat="1" applyFont="1" applyFill="1" applyBorder="1" applyAlignment="1">
      <alignment horizontal="center"/>
    </xf>
    <xf numFmtId="0" fontId="33" fillId="0" borderId="0" xfId="0" applyFont="1"/>
    <xf numFmtId="0" fontId="34" fillId="0" borderId="0" xfId="0" applyFont="1"/>
    <xf numFmtId="0" fontId="35" fillId="0" borderId="0" xfId="0" applyFont="1"/>
    <xf numFmtId="0" fontId="30" fillId="0" borderId="0" xfId="0" applyFont="1"/>
    <xf numFmtId="172" fontId="30" fillId="0" borderId="5" xfId="0" applyNumberFormat="1" applyFont="1" applyBorder="1" applyAlignment="1">
      <alignment horizontal="center"/>
    </xf>
    <xf numFmtId="1" fontId="0" fillId="13" borderId="0" xfId="0" applyNumberFormat="1" applyFill="1" applyAlignment="1">
      <alignment horizontal="center"/>
    </xf>
    <xf numFmtId="0" fontId="0" fillId="0" borderId="0" xfId="0" applyAlignment="1">
      <alignment horizontal="center" wrapText="1"/>
    </xf>
    <xf numFmtId="174" fontId="0" fillId="13" borderId="0" xfId="0" applyNumberFormat="1" applyFill="1" applyAlignment="1">
      <alignment horizontal="center"/>
    </xf>
    <xf numFmtId="1" fontId="0" fillId="10" borderId="9" xfId="0" applyNumberFormat="1" applyFill="1" applyBorder="1" applyAlignment="1">
      <alignment horizontal="center"/>
    </xf>
    <xf numFmtId="1" fontId="21" fillId="10" borderId="10" xfId="0" applyNumberFormat="1" applyFont="1" applyFill="1" applyBorder="1" applyAlignment="1">
      <alignment horizontal="center" vertical="center"/>
    </xf>
    <xf numFmtId="1" fontId="0" fillId="10" borderId="10" xfId="0" applyNumberFormat="1" applyFill="1" applyBorder="1" applyAlignment="1">
      <alignment horizontal="center"/>
    </xf>
    <xf numFmtId="1" fontId="0" fillId="10" borderId="7" xfId="0" applyNumberFormat="1" applyFill="1" applyBorder="1" applyAlignment="1">
      <alignment horizontal="center"/>
    </xf>
    <xf numFmtId="1" fontId="21" fillId="13" borderId="13" xfId="0" applyNumberFormat="1" applyFont="1" applyFill="1" applyBorder="1" applyAlignment="1">
      <alignment horizontal="center" vertical="center"/>
    </xf>
    <xf numFmtId="1" fontId="21" fillId="13" borderId="14" xfId="0" applyNumberFormat="1" applyFont="1" applyFill="1" applyBorder="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2"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vertical="center"/>
    </xf>
    <xf numFmtId="0" fontId="2" fillId="0" borderId="0" xfId="0" applyFont="1" applyAlignment="1">
      <alignment horizontal="center" vertical="center"/>
    </xf>
    <xf numFmtId="2" fontId="17" fillId="0" borderId="0" xfId="0" applyNumberFormat="1" applyFont="1" applyAlignment="1">
      <alignment horizontal="left"/>
    </xf>
    <xf numFmtId="2" fontId="17" fillId="0" borderId="0" xfId="0" applyNumberFormat="1" applyFont="1" applyAlignment="1">
      <alignment horizontal="center" wrapText="1"/>
    </xf>
    <xf numFmtId="172" fontId="17" fillId="0" borderId="0" xfId="0" applyNumberFormat="1" applyFont="1" applyAlignment="1">
      <alignment horizontal="center"/>
    </xf>
    <xf numFmtId="0" fontId="17" fillId="0" borderId="0" xfId="0" applyFont="1" applyAlignment="1">
      <alignment horizontal="center" wrapText="1"/>
    </xf>
    <xf numFmtId="0" fontId="17" fillId="0" borderId="0" xfId="0" applyFont="1" applyAlignment="1">
      <alignment horizontal="left"/>
    </xf>
    <xf numFmtId="0" fontId="2" fillId="10" borderId="0" xfId="0" applyFont="1" applyFill="1" applyAlignment="1">
      <alignment horizontal="center"/>
    </xf>
    <xf numFmtId="166" fontId="2" fillId="0" borderId="0" xfId="2" applyNumberFormat="1" applyFont="1" applyFill="1" applyBorder="1" applyAlignment="1">
      <alignment horizontal="left" vertical="center"/>
    </xf>
    <xf numFmtId="0" fontId="31" fillId="0" borderId="0" xfId="0" applyFont="1" applyAlignment="1">
      <alignment vertical="center"/>
    </xf>
    <xf numFmtId="0" fontId="17" fillId="0" borderId="0" xfId="0" applyFont="1" applyAlignment="1">
      <alignment horizontal="left" vertical="center"/>
    </xf>
    <xf numFmtId="0" fontId="2" fillId="0" borderId="0" xfId="0" applyFont="1" applyAlignment="1">
      <alignment horizontal="left" vertical="center"/>
    </xf>
    <xf numFmtId="3" fontId="2" fillId="0" borderId="0" xfId="0" applyNumberFormat="1" applyFont="1" applyAlignment="1">
      <alignment horizontal="center"/>
    </xf>
    <xf numFmtId="2" fontId="2" fillId="13" borderId="0" xfId="0" applyNumberFormat="1" applyFont="1" applyFill="1" applyAlignment="1">
      <alignment horizontal="center" vertical="center"/>
    </xf>
    <xf numFmtId="0" fontId="2" fillId="0" borderId="0" xfId="0" applyFont="1" applyAlignment="1">
      <alignment horizontal="left"/>
    </xf>
    <xf numFmtId="176" fontId="3" fillId="15" borderId="0" xfId="0" applyNumberFormat="1" applyFont="1" applyFill="1"/>
    <xf numFmtId="175" fontId="28" fillId="0" borderId="5" xfId="0" applyNumberFormat="1" applyFont="1" applyBorder="1" applyAlignment="1">
      <alignment horizontal="center"/>
    </xf>
    <xf numFmtId="9" fontId="3" fillId="0" borderId="0" xfId="0" applyNumberFormat="1" applyFont="1" applyAlignment="1">
      <alignment horizontal="center"/>
    </xf>
    <xf numFmtId="164" fontId="38" fillId="15" borderId="0" xfId="4" applyFont="1" applyFill="1" applyBorder="1"/>
    <xf numFmtId="0" fontId="19" fillId="15" borderId="0" xfId="0" applyFont="1" applyFill="1"/>
    <xf numFmtId="0" fontId="2" fillId="15" borderId="0" xfId="0" applyFont="1" applyFill="1"/>
    <xf numFmtId="0" fontId="17" fillId="15" borderId="0" xfId="0" applyFont="1" applyFill="1"/>
    <xf numFmtId="0" fontId="17" fillId="15" borderId="0" xfId="0" applyFont="1" applyFill="1" applyAlignment="1">
      <alignment horizontal="center"/>
    </xf>
    <xf numFmtId="170" fontId="11" fillId="0" borderId="0" xfId="0" applyNumberFormat="1" applyFont="1" applyAlignment="1">
      <alignment horizontal="center"/>
    </xf>
    <xf numFmtId="0" fontId="24" fillId="0" borderId="0" xfId="0" applyFont="1" applyAlignment="1">
      <alignment horizontal="left"/>
    </xf>
    <xf numFmtId="0" fontId="0" fillId="0" borderId="0" xfId="0" applyAlignment="1">
      <alignment vertical="center"/>
    </xf>
    <xf numFmtId="166" fontId="0" fillId="0" borderId="0" xfId="0" applyNumberFormat="1" applyAlignment="1">
      <alignment horizontal="center" vertical="center" wrapText="1"/>
    </xf>
    <xf numFmtId="0" fontId="0" fillId="0" borderId="7" xfId="0" applyBorder="1" applyAlignment="1">
      <alignment vertical="center" wrapText="1"/>
    </xf>
    <xf numFmtId="1" fontId="21" fillId="0" borderId="0" xfId="0" applyNumberFormat="1" applyFont="1" applyAlignment="1">
      <alignment horizontal="center"/>
    </xf>
    <xf numFmtId="1" fontId="21" fillId="10" borderId="0" xfId="0" applyNumberFormat="1" applyFont="1" applyFill="1" applyAlignment="1">
      <alignment horizontal="center" vertical="center"/>
    </xf>
    <xf numFmtId="1" fontId="21" fillId="13" borderId="0" xfId="0" applyNumberFormat="1" applyFont="1" applyFill="1" applyAlignment="1">
      <alignment horizontal="center" vertical="center"/>
    </xf>
    <xf numFmtId="1" fontId="0" fillId="13" borderId="10" xfId="0" applyNumberFormat="1" applyFill="1" applyBorder="1" applyAlignment="1">
      <alignment horizontal="center"/>
    </xf>
    <xf numFmtId="174" fontId="0" fillId="13" borderId="11" xfId="0" applyNumberFormat="1" applyFill="1" applyBorder="1" applyAlignment="1">
      <alignment horizontal="center"/>
    </xf>
    <xf numFmtId="174" fontId="0" fillId="13" borderId="12" xfId="0" applyNumberFormat="1" applyFill="1" applyBorder="1" applyAlignment="1">
      <alignment horizontal="center"/>
    </xf>
    <xf numFmtId="174" fontId="0" fillId="13" borderId="15" xfId="0" applyNumberFormat="1" applyFill="1" applyBorder="1" applyAlignment="1">
      <alignment horizontal="center"/>
    </xf>
    <xf numFmtId="1" fontId="21" fillId="0" borderId="0" xfId="0" applyNumberFormat="1" applyFont="1" applyAlignment="1">
      <alignment horizontal="center" vertical="center"/>
    </xf>
    <xf numFmtId="166" fontId="28" fillId="0" borderId="0" xfId="2" applyNumberFormat="1" applyFont="1" applyFill="1" applyBorder="1" applyAlignment="1">
      <alignment horizontal="center"/>
    </xf>
    <xf numFmtId="1" fontId="0" fillId="13" borderId="5" xfId="0" applyNumberFormat="1" applyFill="1" applyBorder="1" applyAlignment="1">
      <alignment horizontal="center"/>
    </xf>
    <xf numFmtId="174" fontId="0" fillId="13" borderId="5" xfId="0" applyNumberFormat="1" applyFill="1" applyBorder="1" applyAlignment="1">
      <alignment horizontal="center"/>
    </xf>
    <xf numFmtId="1" fontId="21" fillId="13" borderId="5" xfId="0" applyNumberFormat="1" applyFont="1" applyFill="1" applyBorder="1" applyAlignment="1">
      <alignment horizontal="center" vertical="center"/>
    </xf>
    <xf numFmtId="170" fontId="20" fillId="10" borderId="5" xfId="6" quotePrefix="1" applyNumberFormat="1" applyFill="1" applyBorder="1" applyAlignment="1">
      <alignment horizontal="center" vertical="center" wrapText="1"/>
    </xf>
    <xf numFmtId="0" fontId="28" fillId="0" borderId="0" xfId="0" applyFont="1" applyAlignment="1">
      <alignment horizontal="center"/>
    </xf>
    <xf numFmtId="166" fontId="2" fillId="0" borderId="0" xfId="0" applyNumberFormat="1" applyFont="1" applyAlignment="1">
      <alignment horizontal="center"/>
    </xf>
    <xf numFmtId="177" fontId="0" fillId="10" borderId="5" xfId="2" applyNumberFormat="1" applyFont="1" applyFill="1" applyBorder="1" applyAlignment="1">
      <alignment horizontal="center"/>
    </xf>
    <xf numFmtId="177" fontId="0" fillId="13" borderId="5" xfId="2" applyNumberFormat="1" applyFont="1" applyFill="1" applyBorder="1" applyAlignment="1">
      <alignment horizontal="center"/>
    </xf>
    <xf numFmtId="177" fontId="0" fillId="8" borderId="5" xfId="0" applyNumberFormat="1" applyFill="1" applyBorder="1" applyAlignment="1">
      <alignment horizontal="center"/>
    </xf>
    <xf numFmtId="177" fontId="0" fillId="13" borderId="5" xfId="0" applyNumberFormat="1" applyFill="1" applyBorder="1" applyAlignment="1">
      <alignment horizontal="center"/>
    </xf>
    <xf numFmtId="177" fontId="10" fillId="13" borderId="5" xfId="0" applyNumberFormat="1" applyFont="1" applyFill="1" applyBorder="1" applyAlignment="1">
      <alignment horizontal="center"/>
    </xf>
    <xf numFmtId="175" fontId="28" fillId="0" borderId="5" xfId="0" applyNumberFormat="1" applyFont="1" applyBorder="1" applyAlignment="1">
      <alignment horizontal="center" vertical="center"/>
    </xf>
    <xf numFmtId="0" fontId="30" fillId="0" borderId="5" xfId="0" applyFont="1" applyBorder="1"/>
    <xf numFmtId="0" fontId="29" fillId="17" borderId="5" xfId="0" applyFont="1" applyFill="1" applyBorder="1"/>
    <xf numFmtId="0" fontId="29" fillId="17" borderId="5" xfId="0" applyFont="1" applyFill="1" applyBorder="1" applyAlignment="1">
      <alignment horizontal="center"/>
    </xf>
    <xf numFmtId="2" fontId="30" fillId="0" borderId="5" xfId="0" applyNumberFormat="1" applyFont="1" applyBorder="1" applyAlignment="1">
      <alignment horizontal="center"/>
    </xf>
    <xf numFmtId="2" fontId="30" fillId="0" borderId="0" xfId="0" applyNumberFormat="1" applyFont="1" applyAlignment="1">
      <alignment horizontal="center"/>
    </xf>
    <xf numFmtId="172" fontId="33" fillId="0" borderId="0" xfId="0" applyNumberFormat="1" applyFont="1"/>
    <xf numFmtId="2" fontId="33" fillId="0" borderId="0" xfId="0" applyNumberFormat="1" applyFont="1"/>
    <xf numFmtId="1" fontId="0" fillId="13" borderId="9" xfId="0" applyNumberFormat="1" applyFill="1" applyBorder="1" applyAlignment="1">
      <alignment horizontal="center"/>
    </xf>
    <xf numFmtId="1" fontId="0" fillId="13" borderId="7" xfId="0" applyNumberFormat="1" applyFill="1" applyBorder="1" applyAlignment="1">
      <alignment horizontal="center"/>
    </xf>
    <xf numFmtId="1" fontId="30" fillId="0" borderId="5" xfId="0" applyNumberFormat="1" applyFont="1" applyBorder="1" applyAlignment="1">
      <alignment horizontal="center" vertical="center" wrapText="1"/>
    </xf>
    <xf numFmtId="0" fontId="33" fillId="0" borderId="5" xfId="0" applyFont="1" applyBorder="1" applyAlignment="1">
      <alignment horizontal="left" indent="1"/>
    </xf>
    <xf numFmtId="0" fontId="28" fillId="0" borderId="6" xfId="0" applyFont="1" applyBorder="1" applyAlignment="1">
      <alignment horizontal="center"/>
    </xf>
    <xf numFmtId="0" fontId="28" fillId="0" borderId="17" xfId="0" applyFont="1" applyBorder="1" applyAlignment="1">
      <alignment horizontal="center"/>
    </xf>
    <xf numFmtId="0" fontId="0" fillId="0" borderId="7" xfId="0" applyBorder="1" applyAlignment="1">
      <alignment horizontal="left" vertical="center" wrapText="1"/>
    </xf>
    <xf numFmtId="0" fontId="30" fillId="0" borderId="5" xfId="0" applyFont="1" applyBorder="1" applyAlignment="1">
      <alignment wrapText="1"/>
    </xf>
    <xf numFmtId="0" fontId="27" fillId="9" borderId="0" xfId="0" applyFont="1" applyFill="1"/>
    <xf numFmtId="10" fontId="3" fillId="0" borderId="0" xfId="0" applyNumberFormat="1" applyFont="1" applyAlignment="1">
      <alignment vertical="center"/>
    </xf>
    <xf numFmtId="170" fontId="10" fillId="13" borderId="0" xfId="0" applyNumberFormat="1" applyFont="1" applyFill="1" applyAlignment="1">
      <alignment horizontal="center" vertical="center"/>
    </xf>
    <xf numFmtId="175" fontId="0" fillId="0" borderId="0" xfId="0" applyNumberFormat="1"/>
    <xf numFmtId="166" fontId="28" fillId="0" borderId="5" xfId="2" applyNumberFormat="1" applyFont="1" applyBorder="1"/>
    <xf numFmtId="170" fontId="0" fillId="10" borderId="5" xfId="0" applyNumberFormat="1" applyFill="1" applyBorder="1" applyAlignment="1">
      <alignment horizontal="center"/>
    </xf>
    <xf numFmtId="170" fontId="0" fillId="10" borderId="0" xfId="0" applyNumberFormat="1" applyFill="1" applyAlignment="1">
      <alignment horizontal="center"/>
    </xf>
    <xf numFmtId="166" fontId="28" fillId="0" borderId="8" xfId="0" applyNumberFormat="1" applyFont="1" applyBorder="1" applyAlignment="1">
      <alignment horizontal="center"/>
    </xf>
    <xf numFmtId="170" fontId="21" fillId="13" borderId="5" xfId="0" applyNumberFormat="1" applyFont="1" applyFill="1" applyBorder="1" applyAlignment="1">
      <alignment horizontal="center" vertical="center"/>
    </xf>
    <xf numFmtId="170" fontId="21" fillId="10" borderId="5" xfId="0" applyNumberFormat="1" applyFont="1" applyFill="1" applyBorder="1" applyAlignment="1">
      <alignment horizontal="center" vertical="center"/>
    </xf>
    <xf numFmtId="175" fontId="21" fillId="0" borderId="0" xfId="0" applyNumberFormat="1" applyFont="1" applyAlignment="1">
      <alignment horizontal="left" vertical="center"/>
    </xf>
    <xf numFmtId="0" fontId="22" fillId="0" borderId="0" xfId="0" applyFont="1" applyAlignment="1">
      <alignment horizontal="center" vertical="center" wrapText="1"/>
    </xf>
    <xf numFmtId="43" fontId="10" fillId="0" borderId="0" xfId="1" applyFont="1" applyAlignment="1">
      <alignment horizontal="center"/>
    </xf>
    <xf numFmtId="170" fontId="28" fillId="0" borderId="5" xfId="0" applyNumberFormat="1" applyFont="1" applyBorder="1" applyAlignment="1">
      <alignment horizontal="center" vertical="center"/>
    </xf>
    <xf numFmtId="0" fontId="21" fillId="0" borderId="0" xfId="0" applyFont="1"/>
    <xf numFmtId="0" fontId="21" fillId="0" borderId="0" xfId="0" applyFont="1" applyAlignment="1">
      <alignment horizontal="center"/>
    </xf>
    <xf numFmtId="0" fontId="21" fillId="18" borderId="5" xfId="0" applyFont="1" applyFill="1" applyBorder="1" applyAlignment="1">
      <alignment horizontal="center"/>
    </xf>
    <xf numFmtId="166" fontId="28" fillId="0" borderId="0" xfId="2" applyNumberFormat="1" applyFont="1" applyBorder="1"/>
    <xf numFmtId="178" fontId="0" fillId="0" borderId="0" xfId="0" applyNumberFormat="1"/>
    <xf numFmtId="179" fontId="0" fillId="0" borderId="0" xfId="0" applyNumberFormat="1"/>
    <xf numFmtId="170" fontId="0" fillId="0" borderId="0" xfId="0" applyNumberFormat="1"/>
    <xf numFmtId="9" fontId="2" fillId="0" borderId="0" xfId="0" applyNumberFormat="1" applyFont="1" applyAlignment="1">
      <alignment horizontal="center"/>
    </xf>
    <xf numFmtId="180" fontId="0" fillId="0" borderId="0" xfId="0" applyNumberFormat="1"/>
    <xf numFmtId="180" fontId="0" fillId="0" borderId="0" xfId="0" applyNumberFormat="1" applyAlignment="1">
      <alignment horizontal="center"/>
    </xf>
    <xf numFmtId="180" fontId="2" fillId="0" borderId="0" xfId="0" applyNumberFormat="1" applyFont="1" applyAlignment="1">
      <alignment horizontal="center"/>
    </xf>
    <xf numFmtId="180" fontId="1" fillId="0" borderId="0" xfId="4" applyNumberFormat="1" applyFont="1" applyBorder="1"/>
    <xf numFmtId="181" fontId="2" fillId="0" borderId="0" xfId="0" applyNumberFormat="1" applyFont="1" applyAlignment="1">
      <alignment horizontal="center"/>
    </xf>
    <xf numFmtId="182" fontId="0" fillId="0" borderId="0" xfId="0" applyNumberFormat="1"/>
    <xf numFmtId="43" fontId="0" fillId="0" borderId="0" xfId="0" applyNumberFormat="1"/>
    <xf numFmtId="175" fontId="10" fillId="0" borderId="0" xfId="0" applyNumberFormat="1" applyFont="1" applyAlignment="1">
      <alignment horizontal="center"/>
    </xf>
    <xf numFmtId="168" fontId="2" fillId="0" borderId="0" xfId="0" applyNumberFormat="1" applyFont="1"/>
    <xf numFmtId="170" fontId="12" fillId="0" borderId="0" xfId="4" applyNumberFormat="1" applyFont="1"/>
    <xf numFmtId="168" fontId="3" fillId="0" borderId="0" xfId="0" applyNumberFormat="1" applyFont="1"/>
    <xf numFmtId="168" fontId="0" fillId="0" borderId="0" xfId="0" applyNumberFormat="1" applyAlignment="1">
      <alignment horizontal="center"/>
    </xf>
    <xf numFmtId="1" fontId="28" fillId="0" borderId="5" xfId="0" applyNumberFormat="1" applyFont="1" applyBorder="1" applyAlignment="1">
      <alignment horizontal="center"/>
    </xf>
    <xf numFmtId="179" fontId="40" fillId="0" borderId="0" xfId="0" applyNumberFormat="1" applyFont="1"/>
    <xf numFmtId="3" fontId="0" fillId="0" borderId="0" xfId="4" applyNumberFormat="1" applyFont="1"/>
    <xf numFmtId="0" fontId="41" fillId="0" borderId="0" xfId="0" applyFont="1"/>
    <xf numFmtId="0" fontId="42" fillId="19" borderId="0" xfId="0" applyFont="1" applyFill="1"/>
    <xf numFmtId="0" fontId="43" fillId="19" borderId="0" xfId="0" applyFont="1" applyFill="1"/>
    <xf numFmtId="0" fontId="41" fillId="0" borderId="0" xfId="0" applyFont="1" applyAlignment="1">
      <alignment horizontal="right"/>
    </xf>
    <xf numFmtId="0" fontId="41" fillId="0" borderId="0" xfId="0" applyFont="1" applyAlignment="1">
      <alignment horizontal="center"/>
    </xf>
    <xf numFmtId="0" fontId="44" fillId="0" borderId="0" xfId="0" applyFont="1" applyAlignment="1">
      <alignment horizontal="center"/>
    </xf>
    <xf numFmtId="0" fontId="41" fillId="20" borderId="0" xfId="0" applyFont="1" applyFill="1" applyAlignment="1">
      <alignment horizontal="center" vertical="center"/>
    </xf>
    <xf numFmtId="183" fontId="41" fillId="20" borderId="0" xfId="0" applyNumberFormat="1" applyFont="1" applyFill="1"/>
    <xf numFmtId="0" fontId="41" fillId="0" borderId="0" xfId="0" applyFont="1" applyAlignment="1">
      <alignment horizontal="center" vertical="center"/>
    </xf>
    <xf numFmtId="183" fontId="41" fillId="0" borderId="0" xfId="0" applyNumberFormat="1" applyFont="1"/>
    <xf numFmtId="184" fontId="41" fillId="0" borderId="0" xfId="0" applyNumberFormat="1" applyFont="1"/>
    <xf numFmtId="0" fontId="41" fillId="21" borderId="0" xfId="0" applyFont="1" applyFill="1" applyAlignment="1">
      <alignment horizontal="center" vertical="center"/>
    </xf>
    <xf numFmtId="183" fontId="41" fillId="21" borderId="0" xfId="0" applyNumberFormat="1" applyFont="1" applyFill="1"/>
    <xf numFmtId="0" fontId="41" fillId="21" borderId="0" xfId="0" applyFont="1" applyFill="1"/>
    <xf numFmtId="0" fontId="45" fillId="0" borderId="0" xfId="0" applyFont="1"/>
    <xf numFmtId="0" fontId="46" fillId="0" borderId="0" xfId="0" applyFont="1"/>
    <xf numFmtId="4" fontId="41" fillId="0" borderId="0" xfId="0" applyNumberFormat="1" applyFont="1" applyAlignment="1">
      <alignment horizontal="center"/>
    </xf>
    <xf numFmtId="185" fontId="41" fillId="0" borderId="0" xfId="0" applyNumberFormat="1" applyFont="1" applyAlignment="1">
      <alignment horizontal="center"/>
    </xf>
    <xf numFmtId="170" fontId="3" fillId="15" borderId="0" xfId="4" applyNumberFormat="1" applyFont="1" applyFill="1"/>
    <xf numFmtId="0" fontId="47" fillId="0" borderId="0" xfId="7" applyFont="1"/>
    <xf numFmtId="0" fontId="26" fillId="0" borderId="0" xfId="7"/>
    <xf numFmtId="186" fontId="0" fillId="0" borderId="0" xfId="0" applyNumberFormat="1"/>
    <xf numFmtId="171" fontId="0" fillId="0" borderId="0" xfId="0" applyNumberFormat="1"/>
    <xf numFmtId="187" fontId="0" fillId="0" borderId="0" xfId="0" applyNumberFormat="1"/>
    <xf numFmtId="188" fontId="0" fillId="0" borderId="0" xfId="0" applyNumberFormat="1"/>
    <xf numFmtId="0" fontId="3" fillId="0" borderId="0" xfId="0" applyFont="1" applyAlignment="1">
      <alignment horizontal="left"/>
    </xf>
    <xf numFmtId="10" fontId="28" fillId="0" borderId="5" xfId="0" applyNumberFormat="1" applyFont="1" applyBorder="1" applyAlignment="1">
      <alignment horizontal="center"/>
    </xf>
    <xf numFmtId="9" fontId="28" fillId="0" borderId="5" xfId="0" applyNumberFormat="1" applyFont="1" applyBorder="1" applyAlignment="1">
      <alignment horizontal="center"/>
    </xf>
    <xf numFmtId="9" fontId="28" fillId="0" borderId="5" xfId="2" applyFont="1" applyFill="1" applyBorder="1" applyAlignment="1">
      <alignment horizontal="center"/>
    </xf>
    <xf numFmtId="1" fontId="5" fillId="0" borderId="5" xfId="0" applyNumberFormat="1" applyFont="1" applyBorder="1" applyAlignment="1">
      <alignment horizontal="center"/>
    </xf>
    <xf numFmtId="0" fontId="5" fillId="0" borderId="5" xfId="0" applyFont="1" applyBorder="1" applyAlignment="1">
      <alignment horizontal="center"/>
    </xf>
    <xf numFmtId="3" fontId="5" fillId="0" borderId="5" xfId="0" applyNumberFormat="1" applyFont="1" applyBorder="1" applyAlignment="1">
      <alignment horizontal="center"/>
    </xf>
    <xf numFmtId="9" fontId="5" fillId="0" borderId="5" xfId="0" applyNumberFormat="1" applyFont="1" applyBorder="1" applyAlignment="1">
      <alignment horizontal="center"/>
    </xf>
    <xf numFmtId="9" fontId="0" fillId="0" borderId="0" xfId="2" applyFont="1" applyFill="1" applyBorder="1" applyAlignment="1">
      <alignment horizontal="center" vertical="center" wrapText="1"/>
    </xf>
    <xf numFmtId="0" fontId="10" fillId="0" borderId="5" xfId="0" applyFont="1" applyBorder="1" applyAlignment="1">
      <alignment horizontal="center"/>
    </xf>
    <xf numFmtId="0" fontId="48" fillId="22" borderId="0" xfId="0" applyFont="1" applyFill="1"/>
    <xf numFmtId="0" fontId="49" fillId="22" borderId="0" xfId="0" applyFont="1" applyFill="1"/>
    <xf numFmtId="0" fontId="50" fillId="22" borderId="0" xfId="0" applyFont="1" applyFill="1"/>
    <xf numFmtId="0" fontId="51" fillId="0" borderId="0" xfId="0" applyFont="1"/>
    <xf numFmtId="0" fontId="50" fillId="0" borderId="0" xfId="0" applyFont="1"/>
    <xf numFmtId="0" fontId="52" fillId="0" borderId="0" xfId="0" applyFont="1"/>
    <xf numFmtId="170" fontId="50" fillId="22" borderId="0" xfId="0" applyNumberFormat="1" applyFont="1" applyFill="1"/>
    <xf numFmtId="176" fontId="50" fillId="22" borderId="0" xfId="0" applyNumberFormat="1" applyFont="1" applyFill="1"/>
    <xf numFmtId="9" fontId="50" fillId="0" borderId="0" xfId="0" applyNumberFormat="1" applyFont="1"/>
    <xf numFmtId="9" fontId="51" fillId="0" borderId="0" xfId="0" applyNumberFormat="1" applyFont="1"/>
    <xf numFmtId="175" fontId="54" fillId="0" borderId="0" xfId="0" applyNumberFormat="1" applyFont="1"/>
    <xf numFmtId="182" fontId="51" fillId="0" borderId="0" xfId="0" applyNumberFormat="1" applyFont="1"/>
    <xf numFmtId="170" fontId="51" fillId="0" borderId="0" xfId="0" applyNumberFormat="1" applyFont="1"/>
    <xf numFmtId="1" fontId="53" fillId="0" borderId="5" xfId="0" applyNumberFormat="1" applyFont="1" applyBorder="1" applyAlignment="1">
      <alignment horizontal="center"/>
    </xf>
    <xf numFmtId="2" fontId="53" fillId="0" borderId="5" xfId="0" applyNumberFormat="1" applyFont="1" applyBorder="1" applyAlignment="1">
      <alignment horizontal="center"/>
    </xf>
    <xf numFmtId="2" fontId="53" fillId="0" borderId="8" xfId="0" applyNumberFormat="1" applyFont="1" applyBorder="1" applyAlignment="1">
      <alignment horizontal="center"/>
    </xf>
    <xf numFmtId="0" fontId="53" fillId="0" borderId="8" xfId="0" applyFont="1" applyBorder="1" applyAlignment="1">
      <alignment horizontal="center"/>
    </xf>
    <xf numFmtId="175" fontId="53" fillId="0" borderId="8" xfId="0" applyNumberFormat="1" applyFont="1" applyBorder="1" applyAlignment="1">
      <alignment horizontal="center"/>
    </xf>
    <xf numFmtId="170" fontId="3" fillId="0" borderId="0" xfId="0" applyNumberFormat="1" applyFont="1" applyAlignment="1">
      <alignment vertical="center"/>
    </xf>
    <xf numFmtId="174" fontId="6" fillId="0" borderId="0" xfId="0" applyNumberFormat="1" applyFont="1" applyAlignment="1">
      <alignment horizontal="center" vertical="center" wrapText="1"/>
    </xf>
    <xf numFmtId="9" fontId="6" fillId="0" borderId="0" xfId="2" applyFont="1" applyFill="1" applyBorder="1" applyAlignment="1">
      <alignment horizontal="center" vertical="center" wrapText="1"/>
    </xf>
    <xf numFmtId="0" fontId="29" fillId="17" borderId="5" xfId="0" applyFont="1" applyFill="1" applyBorder="1" applyAlignment="1">
      <alignment horizontal="center" wrapText="1"/>
    </xf>
    <xf numFmtId="172" fontId="30" fillId="0" borderId="5" xfId="0" applyNumberFormat="1" applyFont="1" applyBorder="1" applyAlignment="1">
      <alignment horizontal="center" wrapText="1"/>
    </xf>
    <xf numFmtId="0" fontId="34" fillId="0" borderId="5" xfId="0" applyFont="1" applyBorder="1" applyAlignment="1">
      <alignment wrapText="1"/>
    </xf>
    <xf numFmtId="172" fontId="34" fillId="0" borderId="5" xfId="0" applyNumberFormat="1" applyFont="1" applyBorder="1" applyAlignment="1">
      <alignment horizontal="center" wrapText="1"/>
    </xf>
    <xf numFmtId="9" fontId="30" fillId="0" borderId="0" xfId="2" applyFont="1"/>
    <xf numFmtId="0" fontId="3" fillId="0" borderId="0" xfId="0" applyFont="1" applyAlignment="1">
      <alignment horizontal="left" vertical="center"/>
    </xf>
    <xf numFmtId="0" fontId="55" fillId="0" borderId="0" xfId="0" applyFont="1"/>
    <xf numFmtId="0" fontId="34" fillId="0" borderId="0" xfId="0" applyFont="1" applyAlignment="1">
      <alignment vertical="center"/>
    </xf>
    <xf numFmtId="0" fontId="34" fillId="11" borderId="5" xfId="0" applyFont="1" applyFill="1" applyBorder="1" applyAlignment="1">
      <alignment horizontal="center" vertical="center" wrapText="1"/>
    </xf>
    <xf numFmtId="0" fontId="34" fillId="0" borderId="0" xfId="0" applyFont="1" applyAlignment="1">
      <alignment horizontal="center" vertical="center" wrapText="1"/>
    </xf>
    <xf numFmtId="0" fontId="33" fillId="0" borderId="6" xfId="0" applyFont="1" applyBorder="1" applyAlignment="1">
      <alignment horizontal="center" vertical="center" wrapText="1"/>
    </xf>
    <xf numFmtId="0" fontId="33" fillId="0" borderId="5" xfId="0" applyFont="1" applyBorder="1" applyAlignment="1">
      <alignment vertical="center" wrapText="1"/>
    </xf>
    <xf numFmtId="173" fontId="33" fillId="0" borderId="5" xfId="0" applyNumberFormat="1" applyFont="1" applyBorder="1" applyAlignment="1">
      <alignment horizontal="center" vertical="center" wrapText="1"/>
    </xf>
    <xf numFmtId="0" fontId="33" fillId="0" borderId="0" xfId="0" applyFont="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vertical="center"/>
    </xf>
    <xf numFmtId="0" fontId="33" fillId="0" borderId="0" xfId="0" applyFont="1" applyAlignment="1">
      <alignment vertical="center" wrapText="1"/>
    </xf>
    <xf numFmtId="175" fontId="33" fillId="0" borderId="0" xfId="0" applyNumberFormat="1" applyFont="1" applyAlignment="1">
      <alignment vertical="center" wrapText="1"/>
    </xf>
    <xf numFmtId="0" fontId="33" fillId="0" borderId="0" xfId="0" applyFont="1" applyAlignment="1">
      <alignment horizontal="left" vertical="center" wrapText="1"/>
    </xf>
    <xf numFmtId="173" fontId="33" fillId="0" borderId="0" xfId="0" applyNumberFormat="1" applyFont="1" applyAlignment="1">
      <alignment horizontal="center" vertical="center" wrapText="1"/>
    </xf>
    <xf numFmtId="6" fontId="33" fillId="0" borderId="0" xfId="4" applyNumberFormat="1" applyFont="1" applyFill="1" applyBorder="1" applyAlignment="1">
      <alignment horizontal="center" vertical="center" wrapText="1"/>
    </xf>
    <xf numFmtId="0" fontId="33" fillId="0" borderId="5" xfId="0" applyFont="1" applyBorder="1" applyAlignment="1">
      <alignment horizontal="center" vertical="center"/>
    </xf>
    <xf numFmtId="172" fontId="33" fillId="0" borderId="5" xfId="0" applyNumberFormat="1" applyFont="1" applyBorder="1" applyAlignment="1">
      <alignment horizontal="center" vertical="center"/>
    </xf>
    <xf numFmtId="0" fontId="34" fillId="0" borderId="5" xfId="0" applyFont="1" applyBorder="1" applyAlignment="1">
      <alignment horizontal="center" vertical="center"/>
    </xf>
    <xf numFmtId="0" fontId="34" fillId="11" borderId="5" xfId="0" applyFont="1" applyFill="1" applyBorder="1" applyAlignment="1">
      <alignment vertical="center" wrapText="1"/>
    </xf>
    <xf numFmtId="173" fontId="34" fillId="0" borderId="5" xfId="0" applyNumberFormat="1" applyFont="1" applyBorder="1" applyAlignment="1">
      <alignment horizontal="center" vertical="center" wrapText="1"/>
    </xf>
    <xf numFmtId="175" fontId="34" fillId="0" borderId="5" xfId="0" applyNumberFormat="1" applyFont="1" applyBorder="1" applyAlignment="1">
      <alignment horizontal="center" vertical="center" wrapText="1"/>
    </xf>
    <xf numFmtId="173" fontId="34" fillId="0" borderId="0" xfId="0" applyNumberFormat="1" applyFont="1" applyAlignment="1">
      <alignment horizontal="center" vertical="center" wrapText="1"/>
    </xf>
    <xf numFmtId="0" fontId="34" fillId="0" borderId="5" xfId="0" applyFont="1" applyBorder="1" applyAlignment="1">
      <alignment horizontal="center" vertical="center" wrapText="1"/>
    </xf>
    <xf numFmtId="6" fontId="34" fillId="0" borderId="5" xfId="0" applyNumberFormat="1" applyFont="1" applyBorder="1" applyAlignment="1">
      <alignment horizontal="center" vertical="center" wrapText="1"/>
    </xf>
    <xf numFmtId="0" fontId="34" fillId="11" borderId="16" xfId="0" applyFont="1" applyFill="1" applyBorder="1" applyAlignment="1">
      <alignment horizontal="center" vertical="center" wrapText="1"/>
    </xf>
    <xf numFmtId="0" fontId="34" fillId="17" borderId="5" xfId="0" applyFont="1" applyFill="1" applyBorder="1" applyAlignment="1">
      <alignment horizontal="center" vertical="center" wrapText="1"/>
    </xf>
    <xf numFmtId="172" fontId="33" fillId="0" borderId="16" xfId="0" applyNumberFormat="1" applyFont="1" applyBorder="1" applyAlignment="1">
      <alignment horizontal="center" vertical="center"/>
    </xf>
    <xf numFmtId="172" fontId="33" fillId="0" borderId="5" xfId="0" applyNumberFormat="1" applyFont="1" applyBorder="1" applyAlignment="1">
      <alignment horizontal="center" vertical="center" wrapText="1"/>
    </xf>
    <xf numFmtId="172" fontId="34" fillId="0" borderId="5" xfId="0" applyNumberFormat="1" applyFont="1" applyBorder="1" applyAlignment="1">
      <alignment horizontal="center" vertical="center"/>
    </xf>
    <xf numFmtId="172" fontId="34" fillId="0" borderId="0" xfId="0" applyNumberFormat="1" applyFont="1" applyAlignment="1">
      <alignment horizontal="center" vertical="center"/>
    </xf>
    <xf numFmtId="0" fontId="33" fillId="0" borderId="5" xfId="0" applyFont="1" applyBorder="1" applyAlignment="1">
      <alignment horizontal="left" vertical="center" wrapText="1"/>
    </xf>
    <xf numFmtId="9" fontId="33" fillId="0" borderId="5" xfId="2" applyFont="1" applyBorder="1" applyAlignment="1">
      <alignment horizontal="left" vertical="center" wrapText="1"/>
    </xf>
    <xf numFmtId="175" fontId="33" fillId="0" borderId="5" xfId="0" applyNumberFormat="1" applyFont="1" applyBorder="1" applyAlignment="1">
      <alignment horizontal="left" vertical="center" wrapText="1"/>
    </xf>
    <xf numFmtId="175" fontId="33" fillId="0" borderId="5" xfId="0" applyNumberFormat="1" applyFont="1" applyBorder="1" applyAlignment="1">
      <alignment horizontal="center" vertical="center" wrapText="1"/>
    </xf>
    <xf numFmtId="2" fontId="33" fillId="0" borderId="5" xfId="0" applyNumberFormat="1" applyFont="1" applyBorder="1" applyAlignment="1">
      <alignment horizontal="center" vertical="center" wrapText="1"/>
    </xf>
    <xf numFmtId="172" fontId="33" fillId="0" borderId="5" xfId="0" applyNumberFormat="1" applyFont="1" applyBorder="1" applyAlignment="1">
      <alignment horizontal="left" vertical="center" wrapText="1"/>
    </xf>
    <xf numFmtId="172" fontId="33" fillId="0" borderId="0" xfId="0" applyNumberFormat="1" applyFont="1" applyAlignment="1">
      <alignment horizontal="left" vertical="center"/>
    </xf>
    <xf numFmtId="170" fontId="33" fillId="0" borderId="0" xfId="0" applyNumberFormat="1" applyFont="1" applyAlignment="1">
      <alignment horizontal="right" vertical="center"/>
    </xf>
    <xf numFmtId="6" fontId="33" fillId="0" borderId="0" xfId="0" applyNumberFormat="1" applyFont="1" applyAlignment="1">
      <alignment horizontal="center" vertical="center" wrapText="1"/>
    </xf>
    <xf numFmtId="0" fontId="34" fillId="0" borderId="5" xfId="0" applyFont="1" applyBorder="1" applyAlignment="1">
      <alignment vertical="center" wrapText="1"/>
    </xf>
    <xf numFmtId="173" fontId="33" fillId="0" borderId="0" xfId="0" applyNumberFormat="1" applyFont="1"/>
    <xf numFmtId="2" fontId="34" fillId="0" borderId="5" xfId="1" applyNumberFormat="1" applyFont="1" applyBorder="1" applyAlignment="1">
      <alignment horizontal="center" vertical="center" wrapText="1"/>
    </xf>
    <xf numFmtId="0" fontId="34" fillId="0" borderId="0" xfId="0" quotePrefix="1" applyFont="1"/>
    <xf numFmtId="9" fontId="33" fillId="0" borderId="5" xfId="2" applyFont="1" applyBorder="1" applyAlignment="1">
      <alignment horizontal="center" vertical="center" wrapText="1"/>
    </xf>
    <xf numFmtId="0" fontId="33" fillId="0" borderId="5" xfId="0" applyFont="1" applyBorder="1" applyAlignment="1">
      <alignment wrapText="1"/>
    </xf>
    <xf numFmtId="8" fontId="33" fillId="0" borderId="5" xfId="0" applyNumberFormat="1" applyFont="1" applyBorder="1" applyAlignment="1">
      <alignment horizontal="center" vertical="center" wrapText="1"/>
    </xf>
    <xf numFmtId="170" fontId="10" fillId="0" borderId="0" xfId="0" applyNumberFormat="1" applyFont="1" applyAlignment="1">
      <alignment horizontal="center" vertical="center"/>
    </xf>
    <xf numFmtId="170" fontId="12" fillId="0" borderId="0" xfId="0" applyNumberFormat="1" applyFont="1" applyAlignment="1">
      <alignment vertical="center"/>
    </xf>
    <xf numFmtId="3" fontId="41" fillId="10" borderId="5" xfId="0" applyNumberFormat="1" applyFont="1" applyFill="1" applyBorder="1" applyAlignment="1">
      <alignment horizontal="center" vertical="center"/>
    </xf>
    <xf numFmtId="174" fontId="56" fillId="0" borderId="5" xfId="0" applyNumberFormat="1" applyFont="1" applyBorder="1" applyAlignment="1">
      <alignment horizontal="center" vertical="center"/>
    </xf>
    <xf numFmtId="1" fontId="10" fillId="10" borderId="5" xfId="0" applyNumberFormat="1" applyFont="1" applyFill="1" applyBorder="1" applyAlignment="1">
      <alignment horizontal="center"/>
    </xf>
    <xf numFmtId="170" fontId="10" fillId="13" borderId="5" xfId="0" applyNumberFormat="1" applyFont="1" applyFill="1" applyBorder="1" applyAlignment="1">
      <alignment horizontal="center"/>
    </xf>
    <xf numFmtId="174" fontId="5" fillId="0" borderId="5" xfId="0" applyNumberFormat="1" applyFont="1" applyBorder="1" applyAlignment="1">
      <alignment horizontal="center"/>
    </xf>
    <xf numFmtId="0" fontId="10" fillId="10" borderId="5" xfId="0" applyFont="1" applyFill="1" applyBorder="1" applyAlignment="1">
      <alignment horizontal="center" vertical="center" wrapText="1"/>
    </xf>
    <xf numFmtId="166" fontId="10" fillId="10" borderId="5" xfId="0" applyNumberFormat="1" applyFont="1" applyFill="1" applyBorder="1" applyAlignment="1">
      <alignment horizontal="center" vertical="center" wrapText="1"/>
    </xf>
    <xf numFmtId="175" fontId="10" fillId="10" borderId="5" xfId="0" applyNumberFormat="1" applyFont="1" applyFill="1" applyBorder="1" applyAlignment="1">
      <alignment horizontal="center" vertical="center" wrapText="1"/>
    </xf>
    <xf numFmtId="2" fontId="10" fillId="10" borderId="5" xfId="0" applyNumberFormat="1" applyFont="1" applyFill="1" applyBorder="1" applyAlignment="1">
      <alignment horizontal="center" vertical="center" wrapText="1"/>
    </xf>
    <xf numFmtId="1" fontId="10" fillId="10" borderId="5" xfId="0" applyNumberFormat="1" applyFont="1" applyFill="1" applyBorder="1" applyAlignment="1">
      <alignment horizontal="center" vertical="center" wrapText="1"/>
    </xf>
    <xf numFmtId="9" fontId="10" fillId="10" borderId="5" xfId="2" applyFont="1" applyFill="1" applyBorder="1" applyAlignment="1">
      <alignment horizontal="center" vertical="center" wrapText="1"/>
    </xf>
    <xf numFmtId="10" fontId="10" fillId="10" borderId="5" xfId="0" applyNumberFormat="1" applyFont="1" applyFill="1" applyBorder="1" applyAlignment="1">
      <alignment horizontal="center" vertical="center" wrapText="1"/>
    </xf>
    <xf numFmtId="174" fontId="10" fillId="10" borderId="5" xfId="0" applyNumberFormat="1" applyFont="1" applyFill="1" applyBorder="1" applyAlignment="1">
      <alignment horizontal="center" vertical="center" wrapText="1"/>
    </xf>
    <xf numFmtId="1" fontId="10" fillId="10" borderId="5" xfId="2" applyNumberFormat="1" applyFont="1" applyFill="1" applyBorder="1" applyAlignment="1">
      <alignment horizontal="center" vertical="center" wrapText="1"/>
    </xf>
    <xf numFmtId="2" fontId="10" fillId="10" borderId="5" xfId="2" applyNumberFormat="1" applyFont="1" applyFill="1" applyBorder="1" applyAlignment="1">
      <alignment horizontal="center" vertical="center" wrapText="1"/>
    </xf>
    <xf numFmtId="172" fontId="10" fillId="10" borderId="5" xfId="0" applyNumberFormat="1" applyFont="1" applyFill="1" applyBorder="1" applyAlignment="1">
      <alignment horizontal="center" vertical="center" wrapText="1"/>
    </xf>
    <xf numFmtId="9" fontId="10" fillId="10" borderId="5" xfId="0" applyNumberFormat="1" applyFont="1" applyFill="1" applyBorder="1" applyAlignment="1">
      <alignment horizontal="center" vertical="center" wrapText="1"/>
    </xf>
    <xf numFmtId="0" fontId="10" fillId="18" borderId="5" xfId="0" applyFont="1" applyFill="1" applyBorder="1" applyAlignment="1">
      <alignment horizontal="center"/>
    </xf>
    <xf numFmtId="2" fontId="10" fillId="13" borderId="5" xfId="0" applyNumberFormat="1" applyFont="1" applyFill="1" applyBorder="1" applyAlignment="1">
      <alignment horizontal="center" vertical="center" wrapText="1"/>
    </xf>
    <xf numFmtId="1" fontId="10" fillId="13" borderId="5" xfId="0" applyNumberFormat="1" applyFont="1" applyFill="1" applyBorder="1" applyAlignment="1">
      <alignment horizontal="center" vertical="center" wrapText="1"/>
    </xf>
    <xf numFmtId="0" fontId="10" fillId="24" borderId="5" xfId="0" applyFont="1" applyFill="1" applyBorder="1" applyAlignment="1">
      <alignment horizontal="center"/>
    </xf>
    <xf numFmtId="2" fontId="10" fillId="24" borderId="5" xfId="0" applyNumberFormat="1" applyFont="1" applyFill="1" applyBorder="1" applyAlignment="1">
      <alignment horizontal="center"/>
    </xf>
    <xf numFmtId="6" fontId="34" fillId="0" borderId="0" xfId="0" applyNumberFormat="1" applyFont="1" applyAlignment="1">
      <alignment horizontal="center" vertical="center" wrapText="1"/>
    </xf>
    <xf numFmtId="8" fontId="33" fillId="0" borderId="0" xfId="0" applyNumberFormat="1" applyFont="1" applyAlignment="1">
      <alignment horizontal="center" vertical="center" wrapText="1"/>
    </xf>
    <xf numFmtId="175" fontId="33" fillId="0" borderId="0" xfId="0" applyNumberFormat="1" applyFont="1" applyAlignment="1">
      <alignment horizontal="center" vertical="center" wrapText="1"/>
    </xf>
    <xf numFmtId="166" fontId="33" fillId="0" borderId="5" xfId="2" applyNumberFormat="1" applyFont="1" applyBorder="1" applyAlignment="1">
      <alignment horizontal="center" vertical="center" wrapText="1"/>
    </xf>
    <xf numFmtId="0" fontId="0" fillId="0" borderId="7" xfId="0" applyBorder="1" applyAlignment="1">
      <alignment vertical="center"/>
    </xf>
    <xf numFmtId="0" fontId="10" fillId="0" borderId="7" xfId="0" applyFont="1" applyBorder="1" applyAlignment="1">
      <alignment vertical="center" wrapText="1"/>
    </xf>
    <xf numFmtId="175" fontId="54" fillId="0" borderId="0" xfId="0" applyNumberFormat="1" applyFont="1" applyAlignment="1">
      <alignment horizontal="center"/>
    </xf>
    <xf numFmtId="179" fontId="51" fillId="0" borderId="0" xfId="0" applyNumberFormat="1" applyFont="1"/>
    <xf numFmtId="178" fontId="51" fillId="0" borderId="0" xfId="0" applyNumberFormat="1" applyFont="1"/>
    <xf numFmtId="1" fontId="10" fillId="0" borderId="17" xfId="0" applyNumberFormat="1" applyFont="1" applyBorder="1" applyAlignment="1">
      <alignment horizontal="center" vertical="center" wrapText="1"/>
    </xf>
    <xf numFmtId="1" fontId="33" fillId="0" borderId="5" xfId="2" applyNumberFormat="1" applyFont="1" applyBorder="1" applyAlignment="1">
      <alignment horizontal="left" vertical="center" wrapText="1"/>
    </xf>
    <xf numFmtId="174" fontId="33" fillId="0" borderId="5" xfId="0" applyNumberFormat="1" applyFont="1" applyBorder="1" applyAlignment="1">
      <alignment horizontal="center"/>
    </xf>
    <xf numFmtId="177" fontId="33" fillId="0" borderId="5" xfId="0" applyNumberFormat="1" applyFont="1" applyBorder="1" applyAlignment="1">
      <alignment horizontal="center"/>
    </xf>
    <xf numFmtId="170" fontId="34" fillId="0" borderId="5" xfId="0" applyNumberFormat="1" applyFont="1" applyBorder="1" applyAlignment="1">
      <alignment horizontal="center" vertical="center"/>
    </xf>
    <xf numFmtId="0" fontId="34" fillId="0" borderId="5" xfId="0" applyFont="1" applyBorder="1" applyAlignment="1">
      <alignment horizontal="left" vertical="center" wrapText="1"/>
    </xf>
    <xf numFmtId="0" fontId="34" fillId="25" borderId="5" xfId="0" applyFont="1" applyFill="1" applyBorder="1" applyAlignment="1">
      <alignment horizontal="center" vertical="center" wrapText="1"/>
    </xf>
    <xf numFmtId="9" fontId="33" fillId="0" borderId="5" xfId="0" applyNumberFormat="1" applyFont="1" applyBorder="1" applyAlignment="1">
      <alignment horizontal="center" wrapText="1"/>
    </xf>
    <xf numFmtId="0" fontId="57" fillId="23" borderId="5" xfId="0" applyFont="1" applyFill="1" applyBorder="1" applyAlignment="1">
      <alignment vertical="center" wrapText="1"/>
    </xf>
    <xf numFmtId="0" fontId="57" fillId="23" borderId="5" xfId="0" applyFont="1" applyFill="1" applyBorder="1" applyAlignment="1">
      <alignment horizontal="center" vertical="center" wrapText="1"/>
    </xf>
    <xf numFmtId="2" fontId="57" fillId="23" borderId="5" xfId="0" applyNumberFormat="1" applyFont="1" applyFill="1" applyBorder="1" applyAlignment="1">
      <alignment horizontal="center" vertical="center" wrapText="1"/>
    </xf>
    <xf numFmtId="189" fontId="57" fillId="23" borderId="5" xfId="12" applyNumberFormat="1" applyFont="1" applyFill="1" applyBorder="1" applyAlignment="1">
      <alignment horizontal="center" vertical="center" wrapText="1"/>
    </xf>
    <xf numFmtId="0" fontId="57" fillId="23" borderId="5" xfId="0" applyFont="1" applyFill="1" applyBorder="1" applyAlignment="1">
      <alignment horizontal="left" vertical="center"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left" wrapText="1"/>
    </xf>
    <xf numFmtId="0" fontId="33" fillId="0" borderId="6"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8" xfId="0" applyFont="1" applyBorder="1" applyAlignment="1">
      <alignment horizontal="center" vertical="center" wrapText="1"/>
    </xf>
    <xf numFmtId="1" fontId="34" fillId="0" borderId="16" xfId="2" applyNumberFormat="1" applyFont="1" applyBorder="1" applyAlignment="1">
      <alignment horizontal="center" vertical="center" wrapText="1"/>
    </xf>
    <xf numFmtId="1" fontId="34" fillId="0" borderId="18" xfId="2" applyNumberFormat="1" applyFont="1" applyBorder="1" applyAlignment="1">
      <alignment horizontal="center" vertical="center" wrapText="1"/>
    </xf>
    <xf numFmtId="9" fontId="34" fillId="0" borderId="16" xfId="2" applyFont="1" applyBorder="1" applyAlignment="1">
      <alignment horizontal="center" vertical="center" wrapText="1"/>
    </xf>
    <xf numFmtId="9" fontId="34" fillId="0" borderId="18" xfId="2" applyFont="1" applyBorder="1" applyAlignment="1">
      <alignment horizontal="center" vertical="center" wrapText="1"/>
    </xf>
    <xf numFmtId="0" fontId="34" fillId="11" borderId="5" xfId="0" applyFont="1" applyFill="1" applyBorder="1" applyAlignment="1">
      <alignment horizontal="center" vertical="center" wrapText="1"/>
    </xf>
    <xf numFmtId="0" fontId="33" fillId="0" borderId="6" xfId="0" applyFont="1" applyBorder="1" applyAlignment="1">
      <alignment horizontal="left" vertical="center" wrapText="1"/>
    </xf>
    <xf numFmtId="0" fontId="33" fillId="0" borderId="19" xfId="0" applyFont="1" applyBorder="1" applyAlignment="1">
      <alignment horizontal="left" vertical="center" wrapText="1"/>
    </xf>
    <xf numFmtId="0" fontId="33" fillId="0" borderId="8" xfId="0" applyFont="1" applyBorder="1" applyAlignment="1">
      <alignment horizontal="left" vertical="center" wrapText="1"/>
    </xf>
    <xf numFmtId="172" fontId="34" fillId="25" borderId="5" xfId="0" applyNumberFormat="1" applyFont="1" applyFill="1" applyBorder="1" applyAlignment="1">
      <alignment horizontal="center" vertical="center"/>
    </xf>
    <xf numFmtId="0" fontId="34" fillId="25" borderId="5" xfId="0" applyFont="1" applyFill="1" applyBorder="1" applyAlignment="1">
      <alignment horizontal="center" vertical="center" wrapText="1"/>
    </xf>
    <xf numFmtId="0" fontId="34" fillId="11" borderId="16" xfId="0" applyFont="1" applyFill="1" applyBorder="1" applyAlignment="1">
      <alignment horizontal="center" vertical="center" wrapText="1"/>
    </xf>
    <xf numFmtId="0" fontId="34" fillId="11" borderId="18" xfId="0" applyFont="1" applyFill="1" applyBorder="1" applyAlignment="1">
      <alignment horizontal="center" vertical="center" wrapText="1"/>
    </xf>
    <xf numFmtId="172" fontId="33" fillId="0" borderId="6" xfId="0" applyNumberFormat="1" applyFont="1" applyBorder="1" applyAlignment="1">
      <alignment horizontal="center" vertical="center" wrapText="1"/>
    </xf>
    <xf numFmtId="172" fontId="33" fillId="0" borderId="19" xfId="0" applyNumberFormat="1" applyFont="1" applyBorder="1" applyAlignment="1">
      <alignment horizontal="center" vertical="center" wrapText="1"/>
    </xf>
    <xf numFmtId="172" fontId="33" fillId="0" borderId="8" xfId="0" applyNumberFormat="1" applyFont="1" applyBorder="1" applyAlignment="1">
      <alignment horizontal="center" vertical="center" wrapText="1"/>
    </xf>
    <xf numFmtId="0" fontId="0" fillId="16" borderId="0" xfId="0" applyFill="1" applyAlignment="1">
      <alignment horizontal="left" vertical="center" wrapText="1"/>
    </xf>
    <xf numFmtId="0" fontId="41" fillId="0" borderId="0" xfId="0" applyFont="1" applyAlignment="1">
      <alignment horizontal="center"/>
    </xf>
  </cellXfs>
  <cellStyles count="13">
    <cellStyle name="Comma" xfId="1" builtinId="3"/>
    <cellStyle name="Comma 2" xfId="11" xr:uid="{1A0029B5-3291-4AD4-9B48-2801909BA7EB}"/>
    <cellStyle name="Currency" xfId="12" builtinId="4"/>
    <cellStyle name="DateLong" xfId="5" xr:uid="{6C27DCAC-64E7-4565-B9D2-9651108CBE84}"/>
    <cellStyle name="Factor" xfId="4" xr:uid="{D8305BDD-C4BA-4F11-B608-5DA145DECB5A}"/>
    <cellStyle name="Hyperlink" xfId="6" builtinId="8"/>
    <cellStyle name="Hyperlink 2" xfId="3" xr:uid="{7ED01DFA-5A97-4B89-BD85-BD9328993609}"/>
    <cellStyle name="Normal" xfId="0" builtinId="0"/>
    <cellStyle name="Normal 2" xfId="7" xr:uid="{4A8100FC-ED89-45E7-BA75-2BE7BE185E40}"/>
    <cellStyle name="Normal 2 2" xfId="8" xr:uid="{D9F52A52-E19E-4C19-9989-AE1F82D2C373}"/>
    <cellStyle name="Normal 4" xfId="9" xr:uid="{B8A8EC3D-037E-4996-A3FE-2184952A440E}"/>
    <cellStyle name="Percent" xfId="2" builtinId="5"/>
    <cellStyle name="Percent 2" xfId="10" xr:uid="{8886A8A7-16BE-44BB-BB29-FD2F661AFA5D}"/>
  </cellStyles>
  <dxfs count="7">
    <dxf>
      <numFmt numFmtId="170" formatCode="&quot;$&quot;#,##0"/>
      <alignment horizontal="center" vertical="bottom" textRotation="0" wrapText="0" indent="0" justifyLastLine="0" shrinkToFit="0" readingOrder="0"/>
    </dxf>
    <dxf>
      <numFmt numFmtId="170" formatCode="&quot;$&quot;#,##0"/>
      <alignment horizontal="center" vertical="bottom" textRotation="0" wrapText="0" indent="0" justifyLastLine="0" shrinkToFit="0" readingOrder="0"/>
    </dxf>
    <dxf>
      <numFmt numFmtId="170" formatCode="&quot;$&quot;#,##0"/>
      <alignment horizontal="center" vertical="bottom" textRotation="0" wrapText="0" indent="0" justifyLastLine="0" shrinkToFit="0" readingOrder="0"/>
    </dxf>
    <dxf>
      <numFmt numFmtId="170" formatCode="&quot;$&quot;#,##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center" vertical="bottom" textRotation="0" wrapText="0" indent="0" justifyLastLine="0" shrinkToFit="0" readingOrder="0"/>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798902741324004"/>
          <c:y val="0.23600315266714114"/>
          <c:w val="0.51909993723269898"/>
          <c:h val="0.6360846760859154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C55-4F30-BC21-51324DE9CEC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C55-4F30-BC21-51324DE9CEC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C55-4F30-BC21-51324DE9CEC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C55-4F30-BC21-51324DE9CEC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BAA-4B9C-8745-DB4B82740D4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BAA-4B9C-8745-DB4B82740D4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BAA-4B9C-8745-DB4B82740D4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BAA-4B9C-8745-DB4B82740D4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12B-4658-8745-7DC21BD504D1}"/>
              </c:ext>
            </c:extLst>
          </c:dPt>
          <c:dLbls>
            <c:dLbl>
              <c:idx val="0"/>
              <c:layout>
                <c:manualLayout>
                  <c:x val="-0.13524786927742297"/>
                  <c:y val="1.066245297019021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C55-4F30-BC21-51324DE9CEC6}"/>
                </c:ext>
              </c:extLst>
            </c:dLbl>
            <c:spPr>
              <a:solidFill>
                <a:sysClr val="window" lastClr="FFFFFF"/>
              </a:solidFill>
              <a:ln>
                <a:noFill/>
              </a:ln>
              <a:effectLst/>
            </c:spPr>
            <c:txPr>
              <a:bodyPr rot="0" spcFirstLastPara="1" vertOverflow="clip" horzOverflow="clip" vert="horz" wrap="square" lIns="36576" tIns="18288" rIns="36576" bIns="18288" anchor="ctr" anchorCtr="1">
                <a:spAutoFit/>
              </a:bodyPr>
              <a:lstStyle/>
              <a:p>
                <a:pPr>
                  <a:defRPr sz="1000" b="0" i="0" u="none" strike="noStrike" kern="1200" baseline="0">
                    <a:solidFill>
                      <a:schemeClr val="dk1">
                        <a:lumMod val="65000"/>
                        <a:lumOff val="3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'BCA Summary'!$E$24:$F$32</c:f>
              <c:strCache>
                <c:ptCount val="9"/>
                <c:pt idx="0">
                  <c:v>O&amp;M and R&amp;R Cost Savings</c:v>
                </c:pt>
                <c:pt idx="1">
                  <c:v>Residual Value</c:v>
                </c:pt>
                <c:pt idx="2">
                  <c:v>Repurposed ROW (Value of Air Rights Created)</c:v>
                </c:pt>
                <c:pt idx="3">
                  <c:v>Pedestrian Amenity Benefits</c:v>
                </c:pt>
                <c:pt idx="4">
                  <c:v>Cycling Amenity Benefits</c:v>
                </c:pt>
                <c:pt idx="5">
                  <c:v>Health Benefits</c:v>
                </c:pt>
                <c:pt idx="6">
                  <c:v>Plaza Benefits</c:v>
                </c:pt>
                <c:pt idx="7">
                  <c:v>Emissions Savings</c:v>
                </c:pt>
                <c:pt idx="8">
                  <c:v>Parking Benefits</c:v>
                </c:pt>
              </c:strCache>
            </c:strRef>
          </c:cat>
          <c:val>
            <c:numRef>
              <c:f>'BCA Summary'!$H$24:$H$32</c:f>
              <c:numCache>
                <c:formatCode>"$"#,##0</c:formatCode>
                <c:ptCount val="9"/>
                <c:pt idx="0">
                  <c:v>-501635.06437639153</c:v>
                </c:pt>
                <c:pt idx="1">
                  <c:v>2887892.6083230437</c:v>
                </c:pt>
                <c:pt idx="2">
                  <c:v>7496397.2792967455</c:v>
                </c:pt>
                <c:pt idx="3">
                  <c:v>239497.61398606878</c:v>
                </c:pt>
                <c:pt idx="4">
                  <c:v>260035.87713335571</c:v>
                </c:pt>
                <c:pt idx="5">
                  <c:v>2303982.3964330778</c:v>
                </c:pt>
                <c:pt idx="6">
                  <c:v>30672659.820618987</c:v>
                </c:pt>
                <c:pt idx="7">
                  <c:v>114998.27840022212</c:v>
                </c:pt>
                <c:pt idx="8">
                  <c:v>27485121.475283768</c:v>
                </c:pt>
              </c:numCache>
            </c:numRef>
          </c:val>
          <c:extLst>
            <c:ext xmlns:c16="http://schemas.microsoft.com/office/drawing/2014/chart" uri="{C3380CC4-5D6E-409C-BE32-E72D297353CC}">
              <c16:uniqueId val="{00000018-7C55-4F30-BC21-51324DE9CEC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33618</xdr:colOff>
      <xdr:row>50</xdr:row>
      <xdr:rowOff>54237</xdr:rowOff>
    </xdr:from>
    <xdr:to>
      <xdr:col>6</xdr:col>
      <xdr:colOff>436716</xdr:colOff>
      <xdr:row>64</xdr:row>
      <xdr:rowOff>55761</xdr:rowOff>
    </xdr:to>
    <xdr:graphicFrame macro="">
      <xdr:nvGraphicFramePr>
        <xdr:cNvPr id="3" name="Chart 2">
          <a:extLst>
            <a:ext uri="{FF2B5EF4-FFF2-40B4-BE49-F238E27FC236}">
              <a16:creationId xmlns:a16="http://schemas.microsoft.com/office/drawing/2014/main" id="{C2990417-0623-4E92-8BAE-C60205C92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1145116</xdr:colOff>
      <xdr:row>196</xdr:row>
      <xdr:rowOff>65618</xdr:rowOff>
    </xdr:from>
    <xdr:to>
      <xdr:col>13</xdr:col>
      <xdr:colOff>152399</xdr:colOff>
      <xdr:row>209</xdr:row>
      <xdr:rowOff>172901</xdr:rowOff>
    </xdr:to>
    <xdr:pic>
      <xdr:nvPicPr>
        <xdr:cNvPr id="3" name="Picture 2">
          <a:extLst>
            <a:ext uri="{FF2B5EF4-FFF2-40B4-BE49-F238E27FC236}">
              <a16:creationId xmlns:a16="http://schemas.microsoft.com/office/drawing/2014/main" id="{369C7484-8428-DC8C-988C-7165880C5F55}"/>
            </a:ext>
          </a:extLst>
        </xdr:cNvPr>
        <xdr:cNvPicPr>
          <a:picLocks noChangeAspect="1"/>
        </xdr:cNvPicPr>
      </xdr:nvPicPr>
      <xdr:blipFill>
        <a:blip xmlns:r="http://schemas.openxmlformats.org/officeDocument/2006/relationships" r:embed="rId1"/>
        <a:stretch>
          <a:fillRect/>
        </a:stretch>
      </xdr:blipFill>
      <xdr:spPr>
        <a:xfrm>
          <a:off x="5977466" y="14784918"/>
          <a:ext cx="6322483" cy="2497423"/>
        </a:xfrm>
        <a:prstGeom prst="rect">
          <a:avLst/>
        </a:prstGeom>
      </xdr:spPr>
    </xdr:pic>
    <xdr:clientData/>
  </xdr:twoCellAnchor>
  <xdr:twoCellAnchor editAs="oneCell">
    <xdr:from>
      <xdr:col>0</xdr:col>
      <xdr:colOff>0</xdr:colOff>
      <xdr:row>195</xdr:row>
      <xdr:rowOff>27795</xdr:rowOff>
    </xdr:from>
    <xdr:to>
      <xdr:col>6</xdr:col>
      <xdr:colOff>665224</xdr:colOff>
      <xdr:row>210</xdr:row>
      <xdr:rowOff>22597</xdr:rowOff>
    </xdr:to>
    <xdr:pic>
      <xdr:nvPicPr>
        <xdr:cNvPr id="4" name="Picture 3">
          <a:extLst>
            <a:ext uri="{FF2B5EF4-FFF2-40B4-BE49-F238E27FC236}">
              <a16:creationId xmlns:a16="http://schemas.microsoft.com/office/drawing/2014/main" id="{B0D835AC-746D-51B6-76BA-0A8F8AEBD1BB}"/>
            </a:ext>
          </a:extLst>
        </xdr:cNvPr>
        <xdr:cNvPicPr>
          <a:picLocks noChangeAspect="1"/>
        </xdr:cNvPicPr>
      </xdr:nvPicPr>
      <xdr:blipFill>
        <a:blip xmlns:r="http://schemas.openxmlformats.org/officeDocument/2006/relationships" r:embed="rId2"/>
        <a:stretch>
          <a:fillRect/>
        </a:stretch>
      </xdr:blipFill>
      <xdr:spPr>
        <a:xfrm>
          <a:off x="0" y="14562945"/>
          <a:ext cx="5501384" cy="2753242"/>
        </a:xfrm>
        <a:prstGeom prst="rect">
          <a:avLst/>
        </a:prstGeom>
      </xdr:spPr>
    </xdr:pic>
    <xdr:clientData/>
  </xdr:twoCellAnchor>
  <xdr:twoCellAnchor editAs="oneCell">
    <xdr:from>
      <xdr:col>13</xdr:col>
      <xdr:colOff>552450</xdr:colOff>
      <xdr:row>195</xdr:row>
      <xdr:rowOff>179192</xdr:rowOff>
    </xdr:from>
    <xdr:to>
      <xdr:col>21</xdr:col>
      <xdr:colOff>646167</xdr:colOff>
      <xdr:row>204</xdr:row>
      <xdr:rowOff>137159</xdr:rowOff>
    </xdr:to>
    <xdr:pic>
      <xdr:nvPicPr>
        <xdr:cNvPr id="5" name="Picture 4">
          <a:extLst>
            <a:ext uri="{FF2B5EF4-FFF2-40B4-BE49-F238E27FC236}">
              <a16:creationId xmlns:a16="http://schemas.microsoft.com/office/drawing/2014/main" id="{E62F9734-DA8E-FC82-27B1-4079755CB012}"/>
            </a:ext>
          </a:extLst>
        </xdr:cNvPr>
        <xdr:cNvPicPr>
          <a:picLocks noChangeAspect="1"/>
        </xdr:cNvPicPr>
      </xdr:nvPicPr>
      <xdr:blipFill>
        <a:blip xmlns:r="http://schemas.openxmlformats.org/officeDocument/2006/relationships" r:embed="rId3"/>
        <a:stretch>
          <a:fillRect/>
        </a:stretch>
      </xdr:blipFill>
      <xdr:spPr>
        <a:xfrm>
          <a:off x="12700000" y="14714342"/>
          <a:ext cx="6169397" cy="1611508"/>
        </a:xfrm>
        <a:prstGeom prst="rect">
          <a:avLst/>
        </a:prstGeom>
      </xdr:spPr>
    </xdr:pic>
    <xdr:clientData/>
  </xdr:twoCellAnchor>
  <xdr:twoCellAnchor editAs="oneCell">
    <xdr:from>
      <xdr:col>17</xdr:col>
      <xdr:colOff>57150</xdr:colOff>
      <xdr:row>17</xdr:row>
      <xdr:rowOff>50800</xdr:rowOff>
    </xdr:from>
    <xdr:to>
      <xdr:col>34</xdr:col>
      <xdr:colOff>399224</xdr:colOff>
      <xdr:row>34</xdr:row>
      <xdr:rowOff>231338</xdr:rowOff>
    </xdr:to>
    <xdr:pic>
      <xdr:nvPicPr>
        <xdr:cNvPr id="6" name="Picture 5">
          <a:extLst>
            <a:ext uri="{FF2B5EF4-FFF2-40B4-BE49-F238E27FC236}">
              <a16:creationId xmlns:a16="http://schemas.microsoft.com/office/drawing/2014/main" id="{BB00C315-2B64-2EF5-F79C-D2938AC9510A}"/>
            </a:ext>
          </a:extLst>
        </xdr:cNvPr>
        <xdr:cNvPicPr>
          <a:picLocks noChangeAspect="1"/>
        </xdr:cNvPicPr>
      </xdr:nvPicPr>
      <xdr:blipFill>
        <a:blip xmlns:r="http://schemas.openxmlformats.org/officeDocument/2006/relationships" r:embed="rId4"/>
        <a:stretch>
          <a:fillRect/>
        </a:stretch>
      </xdr:blipFill>
      <xdr:spPr>
        <a:xfrm>
          <a:off x="15417800" y="3365500"/>
          <a:ext cx="11685714" cy="3495238"/>
        </a:xfrm>
        <a:prstGeom prst="rect">
          <a:avLst/>
        </a:prstGeom>
      </xdr:spPr>
    </xdr:pic>
    <xdr:clientData/>
  </xdr:twoCellAnchor>
  <xdr:twoCellAnchor editAs="oneCell">
    <xdr:from>
      <xdr:col>16</xdr:col>
      <xdr:colOff>393700</xdr:colOff>
      <xdr:row>95</xdr:row>
      <xdr:rowOff>95250</xdr:rowOff>
    </xdr:from>
    <xdr:to>
      <xdr:col>23</xdr:col>
      <xdr:colOff>570864</xdr:colOff>
      <xdr:row>110</xdr:row>
      <xdr:rowOff>92342</xdr:rowOff>
    </xdr:to>
    <xdr:pic>
      <xdr:nvPicPr>
        <xdr:cNvPr id="7" name="Picture 6">
          <a:extLst>
            <a:ext uri="{FF2B5EF4-FFF2-40B4-BE49-F238E27FC236}">
              <a16:creationId xmlns:a16="http://schemas.microsoft.com/office/drawing/2014/main" id="{6C0FF636-2E93-70EC-85FF-FF9A1FF6E834}"/>
            </a:ext>
          </a:extLst>
        </xdr:cNvPr>
        <xdr:cNvPicPr>
          <a:picLocks noChangeAspect="1"/>
        </xdr:cNvPicPr>
      </xdr:nvPicPr>
      <xdr:blipFill>
        <a:blip xmlns:r="http://schemas.openxmlformats.org/officeDocument/2006/relationships" r:embed="rId5"/>
        <a:stretch>
          <a:fillRect/>
        </a:stretch>
      </xdr:blipFill>
      <xdr:spPr>
        <a:xfrm>
          <a:off x="15036800" y="13525500"/>
          <a:ext cx="5085714" cy="2942857"/>
        </a:xfrm>
        <a:prstGeom prst="rect">
          <a:avLst/>
        </a:prstGeom>
      </xdr:spPr>
    </xdr:pic>
    <xdr:clientData/>
  </xdr:twoCellAnchor>
  <xdr:twoCellAnchor editAs="oneCell">
    <xdr:from>
      <xdr:col>16</xdr:col>
      <xdr:colOff>533699</xdr:colOff>
      <xdr:row>115</xdr:row>
      <xdr:rowOff>158703</xdr:rowOff>
    </xdr:from>
    <xdr:to>
      <xdr:col>22</xdr:col>
      <xdr:colOff>304801</xdr:colOff>
      <xdr:row>127</xdr:row>
      <xdr:rowOff>140596</xdr:rowOff>
    </xdr:to>
    <xdr:pic>
      <xdr:nvPicPr>
        <xdr:cNvPr id="8" name="Picture 7">
          <a:extLst>
            <a:ext uri="{FF2B5EF4-FFF2-40B4-BE49-F238E27FC236}">
              <a16:creationId xmlns:a16="http://schemas.microsoft.com/office/drawing/2014/main" id="{DD3F0EDF-316F-379F-B95A-5228A337B7D7}"/>
            </a:ext>
          </a:extLst>
        </xdr:cNvPr>
        <xdr:cNvPicPr>
          <a:picLocks noChangeAspect="1"/>
        </xdr:cNvPicPr>
      </xdr:nvPicPr>
      <xdr:blipFill>
        <a:blip xmlns:r="http://schemas.openxmlformats.org/officeDocument/2006/relationships" r:embed="rId6"/>
        <a:stretch>
          <a:fillRect/>
        </a:stretch>
      </xdr:blipFill>
      <xdr:spPr>
        <a:xfrm rot="16200000">
          <a:off x="15985766" y="16831286"/>
          <a:ext cx="2382268" cy="400020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uslanbek Uulu, Bakai" id="{AF8FA3E6-A85A-454D-93FB-22D5B41403E7}" userId="S::Bakai.RuslanbekUulu@wsp.com::d27f4cd2-b93a-45ba-b4d8-f3f86d236a6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6AC197-1F74-47FE-B935-87A990697099}" name="EmissionsValues_Metric" displayName="EmissionsValues_Metric" ref="E4:I51" totalsRowShown="0" headerRowDxfId="6" dataDxfId="5">
  <tableColumns count="5">
    <tableColumn id="1" xr3:uid="{F6607B8D-D7B9-49B1-A1F6-6941FFE3C535}" name="Emission Type" dataDxfId="4"/>
    <tableColumn id="2" xr3:uid="{58927B86-AAE3-48EC-821E-20809566E906}" name="NOx" dataDxfId="3"/>
    <tableColumn id="3" xr3:uid="{1DEADA63-9A94-42A6-9C5B-4C6853AC06A0}" name="SOx" dataDxfId="2"/>
    <tableColumn id="4" xr3:uid="{08B427BB-806E-4FC4-8649-721F544C2D07}" name="PM2.5**" dataDxfId="1"/>
    <tableColumn id="5" xr3:uid="{6FDCE7F3-2BF2-4612-8EF9-B79AFFE811F9}" name="CO2"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63" dT="2023-07-19T13:36:35.37" personId="{AF8FA3E6-A85A-454D-93FB-22D5B41403E7}" id="{2B50C1A9-030F-4290-B99A-0A35E58CEB49}">
    <text>Need to make the difference more explicit</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E57CF-B296-4B3F-B13C-171CC14FBFF9}">
  <sheetPr codeName="Sheet1">
    <tabColor theme="8"/>
  </sheetPr>
  <dimension ref="A1:P26"/>
  <sheetViews>
    <sheetView tabSelected="1" workbookViewId="0"/>
  </sheetViews>
  <sheetFormatPr defaultColWidth="0" defaultRowHeight="15" zeroHeight="1"/>
  <cols>
    <col min="1" max="3" width="2.28515625" customWidth="1"/>
    <col min="4" max="16" width="9.28515625" customWidth="1"/>
    <col min="17" max="16384" width="9.28515625" hidden="1"/>
  </cols>
  <sheetData>
    <row r="1" spans="1:16" ht="25.5" customHeight="1">
      <c r="A1" s="1"/>
      <c r="B1" s="2" t="s">
        <v>438</v>
      </c>
      <c r="C1" s="1"/>
      <c r="D1" s="1"/>
      <c r="E1" s="1"/>
      <c r="F1" s="1"/>
      <c r="G1" s="1"/>
      <c r="H1" s="1"/>
      <c r="I1" s="1"/>
      <c r="J1" s="1"/>
      <c r="K1" s="1"/>
      <c r="L1" s="1"/>
      <c r="M1" s="1"/>
      <c r="N1" s="1"/>
      <c r="O1" s="1"/>
      <c r="P1" s="1"/>
    </row>
    <row r="2" spans="1:16" ht="25.5" customHeight="1">
      <c r="A2" s="1"/>
      <c r="B2" s="2" t="s">
        <v>439</v>
      </c>
      <c r="C2" s="1"/>
      <c r="D2" s="1"/>
      <c r="E2" s="1"/>
      <c r="F2" s="1"/>
      <c r="G2" s="1"/>
      <c r="H2" s="1"/>
      <c r="I2" s="1"/>
      <c r="J2" s="1"/>
      <c r="K2" s="1"/>
      <c r="L2" s="1"/>
      <c r="M2" s="1"/>
      <c r="N2" s="1"/>
      <c r="O2" s="1"/>
      <c r="P2" s="1"/>
    </row>
    <row r="3" spans="1:16" ht="19.5" customHeight="1">
      <c r="A3" s="1"/>
      <c r="B3" s="2" t="s">
        <v>0</v>
      </c>
      <c r="C3" s="1"/>
      <c r="D3" s="1"/>
      <c r="E3" s="1"/>
      <c r="F3" s="1"/>
      <c r="G3" s="1"/>
      <c r="H3" s="1"/>
      <c r="I3" s="1"/>
      <c r="J3" s="1"/>
      <c r="K3" s="1"/>
      <c r="L3" s="1"/>
      <c r="M3" s="1"/>
      <c r="N3" s="1"/>
      <c r="O3" s="1"/>
      <c r="P3" s="1"/>
    </row>
    <row r="4" spans="1:16" ht="5.0999999999999996" customHeight="1">
      <c r="A4" s="1"/>
      <c r="B4" s="1"/>
      <c r="C4" s="1"/>
      <c r="D4" s="1"/>
      <c r="E4" s="1"/>
      <c r="F4" s="1"/>
      <c r="G4" s="1"/>
      <c r="H4" s="1"/>
      <c r="I4" s="1"/>
      <c r="J4" s="1"/>
      <c r="K4" s="1"/>
      <c r="L4" s="1"/>
      <c r="M4" s="1"/>
      <c r="N4" s="1"/>
      <c r="O4" s="1"/>
      <c r="P4" s="1"/>
    </row>
    <row r="5" spans="1:16" ht="5.0999999999999996" customHeight="1">
      <c r="A5" s="1"/>
      <c r="B5" s="1"/>
      <c r="C5" s="1"/>
      <c r="D5" s="1"/>
      <c r="E5" s="1"/>
      <c r="F5" s="1"/>
      <c r="G5" s="1"/>
      <c r="H5" s="1"/>
      <c r="I5" s="1"/>
      <c r="J5" s="1"/>
      <c r="K5" s="1"/>
      <c r="L5" s="1"/>
      <c r="M5" s="1"/>
      <c r="N5" s="1"/>
      <c r="O5" s="1"/>
      <c r="P5" s="1"/>
    </row>
    <row r="6" spans="1:16" ht="27.75" customHeight="1">
      <c r="A6" s="1"/>
      <c r="B6" s="385" t="s">
        <v>1</v>
      </c>
      <c r="C6" s="386"/>
      <c r="D6" s="386"/>
      <c r="E6" s="386"/>
      <c r="F6" s="386"/>
      <c r="G6" s="386"/>
      <c r="H6" s="386"/>
      <c r="I6" s="386"/>
      <c r="J6" s="386"/>
      <c r="K6" s="386"/>
      <c r="L6" s="386"/>
      <c r="M6" s="386"/>
      <c r="N6" s="386"/>
      <c r="O6" s="387"/>
      <c r="P6" s="1"/>
    </row>
    <row r="7" spans="1:16">
      <c r="A7" s="1"/>
      <c r="B7" s="1"/>
      <c r="C7" s="1"/>
      <c r="D7" s="1"/>
      <c r="E7" s="1"/>
      <c r="F7" s="1"/>
      <c r="G7" s="1"/>
      <c r="H7" s="1"/>
      <c r="I7" s="1"/>
      <c r="J7" s="1"/>
      <c r="K7" s="1"/>
      <c r="L7" s="1"/>
      <c r="M7" s="1"/>
      <c r="N7" s="1"/>
      <c r="O7" s="1"/>
      <c r="P7" s="1"/>
    </row>
    <row r="8" spans="1:16">
      <c r="A8" s="1"/>
      <c r="B8" s="3" t="s">
        <v>2</v>
      </c>
      <c r="C8" s="1"/>
      <c r="D8" s="1"/>
      <c r="E8" s="1"/>
      <c r="F8" s="1"/>
      <c r="G8" s="1"/>
      <c r="H8" s="1"/>
      <c r="I8" s="1"/>
      <c r="J8" s="1"/>
      <c r="K8" s="1"/>
      <c r="L8" s="1"/>
      <c r="M8" s="1"/>
      <c r="N8" s="1"/>
      <c r="O8" s="1"/>
      <c r="P8" s="1"/>
    </row>
    <row r="9" spans="1:16">
      <c r="A9" s="1"/>
      <c r="B9" s="1"/>
      <c r="C9" s="1"/>
      <c r="D9" s="1"/>
      <c r="E9" s="1"/>
      <c r="F9" s="1"/>
      <c r="G9" s="1"/>
      <c r="H9" s="1"/>
      <c r="I9" s="1"/>
      <c r="J9" s="1"/>
      <c r="K9" s="1"/>
      <c r="L9" s="1"/>
      <c r="M9" s="1"/>
      <c r="N9" s="1"/>
      <c r="O9" s="1"/>
      <c r="P9" s="1"/>
    </row>
    <row r="10" spans="1:16">
      <c r="A10" s="1"/>
      <c r="B10" s="1"/>
      <c r="C10" s="4"/>
      <c r="D10" s="1" t="s">
        <v>3</v>
      </c>
      <c r="E10" s="1"/>
      <c r="F10" s="1"/>
      <c r="G10" s="1"/>
      <c r="H10" s="1"/>
      <c r="I10" s="1"/>
      <c r="J10" s="1"/>
      <c r="K10" s="1"/>
      <c r="L10" s="1"/>
      <c r="M10" s="1"/>
      <c r="N10" s="1"/>
      <c r="O10" s="1"/>
      <c r="P10" s="1"/>
    </row>
    <row r="11" spans="1:16">
      <c r="A11" s="1"/>
      <c r="B11" s="1"/>
      <c r="C11" s="5"/>
      <c r="D11" s="1" t="s">
        <v>4</v>
      </c>
      <c r="E11" s="1"/>
      <c r="F11" s="1"/>
      <c r="G11" s="1"/>
      <c r="H11" s="1"/>
      <c r="I11" s="1"/>
      <c r="J11" s="1"/>
      <c r="K11" s="1"/>
      <c r="L11" s="1"/>
      <c r="M11" s="1"/>
      <c r="N11" s="1"/>
      <c r="O11" s="1"/>
      <c r="P11" s="1"/>
    </row>
    <row r="12" spans="1:16">
      <c r="A12" s="1"/>
      <c r="B12" s="1"/>
      <c r="C12" s="6"/>
      <c r="D12" s="1" t="s">
        <v>5</v>
      </c>
      <c r="E12" s="1"/>
      <c r="F12" s="1"/>
      <c r="G12" s="1"/>
      <c r="H12" s="1"/>
      <c r="I12" s="1"/>
      <c r="J12" s="1"/>
      <c r="K12" s="1"/>
      <c r="L12" s="1"/>
      <c r="M12" s="1"/>
      <c r="N12" s="1"/>
      <c r="O12" s="1"/>
      <c r="P12" s="1"/>
    </row>
    <row r="13" spans="1:16">
      <c r="A13" s="1"/>
      <c r="B13" s="1"/>
      <c r="C13" s="7"/>
      <c r="D13" s="1" t="s">
        <v>6</v>
      </c>
      <c r="E13" s="1"/>
      <c r="F13" s="1"/>
      <c r="G13" s="1"/>
      <c r="H13" s="1"/>
      <c r="I13" s="1"/>
      <c r="J13" s="1"/>
      <c r="K13" s="1"/>
      <c r="L13" s="1"/>
      <c r="M13" s="1"/>
      <c r="N13" s="1"/>
      <c r="O13" s="1"/>
      <c r="P13" s="1"/>
    </row>
    <row r="14" spans="1:16">
      <c r="A14" s="1"/>
      <c r="B14" s="1"/>
      <c r="C14" s="40"/>
      <c r="D14" s="1" t="s">
        <v>7</v>
      </c>
      <c r="E14" s="1"/>
      <c r="F14" s="1"/>
      <c r="G14" s="1"/>
      <c r="H14" s="1"/>
      <c r="I14" s="1"/>
      <c r="J14" s="1"/>
      <c r="K14" s="1"/>
      <c r="L14" s="1"/>
      <c r="M14" s="1"/>
      <c r="N14" s="1"/>
      <c r="O14" s="1"/>
      <c r="P14" s="1"/>
    </row>
    <row r="15" spans="1:16">
      <c r="A15" s="1"/>
      <c r="B15" s="1"/>
      <c r="C15" s="8"/>
      <c r="D15" s="1" t="s">
        <v>8</v>
      </c>
      <c r="E15" s="1"/>
      <c r="F15" s="1"/>
      <c r="G15" s="1"/>
      <c r="H15" s="1"/>
      <c r="I15" s="1"/>
      <c r="J15" s="1"/>
      <c r="K15" s="1"/>
      <c r="L15" s="1"/>
      <c r="M15" s="1"/>
      <c r="N15" s="1"/>
      <c r="O15" s="1"/>
      <c r="P15" s="1"/>
    </row>
    <row r="16" spans="1:16" ht="5.0999999999999996" customHeight="1">
      <c r="A16" s="1"/>
      <c r="B16" s="1"/>
      <c r="C16" s="1"/>
      <c r="D16" s="1"/>
      <c r="E16" s="1"/>
      <c r="F16" s="1"/>
      <c r="G16" s="1"/>
      <c r="H16" s="1"/>
      <c r="I16" s="1"/>
      <c r="J16" s="1"/>
      <c r="K16" s="1"/>
      <c r="L16" s="1"/>
      <c r="M16" s="1"/>
      <c r="N16" s="1"/>
      <c r="O16" s="1"/>
      <c r="P16" s="1"/>
    </row>
    <row r="17" spans="1:16">
      <c r="A17" s="1"/>
      <c r="B17" s="3" t="s">
        <v>9</v>
      </c>
      <c r="C17" s="1"/>
      <c r="D17" s="1"/>
      <c r="E17" s="1"/>
      <c r="F17" s="1"/>
      <c r="G17" s="1"/>
      <c r="H17" s="1"/>
      <c r="I17" s="1"/>
      <c r="J17" s="1"/>
      <c r="K17" s="1"/>
      <c r="L17" s="1"/>
      <c r="M17" s="1"/>
      <c r="N17" s="1"/>
      <c r="O17" s="1"/>
      <c r="P17" s="1"/>
    </row>
    <row r="18" spans="1:16" ht="5.0999999999999996" customHeight="1">
      <c r="A18" s="1"/>
      <c r="B18" s="1"/>
      <c r="C18" s="1"/>
      <c r="D18" s="1"/>
      <c r="E18" s="1"/>
      <c r="F18" s="1"/>
      <c r="G18" s="1"/>
      <c r="H18" s="1"/>
      <c r="I18" s="1"/>
      <c r="J18" s="1"/>
      <c r="K18" s="1"/>
      <c r="L18" s="1"/>
      <c r="M18" s="1"/>
      <c r="N18" s="1"/>
      <c r="O18" s="1"/>
      <c r="P18" s="1"/>
    </row>
    <row r="19" spans="1:16">
      <c r="A19" s="1"/>
      <c r="B19" s="1"/>
      <c r="C19" s="9"/>
      <c r="D19" s="1" t="s">
        <v>10</v>
      </c>
      <c r="E19" s="1"/>
      <c r="F19" s="1"/>
      <c r="G19" s="1"/>
      <c r="H19" s="1"/>
      <c r="I19" s="1"/>
      <c r="J19" s="1"/>
      <c r="K19" s="1"/>
      <c r="L19" s="1"/>
      <c r="M19" s="1"/>
      <c r="N19" s="1"/>
      <c r="O19" s="1"/>
      <c r="P19" s="1"/>
    </row>
    <row r="20" spans="1:16">
      <c r="A20" s="1"/>
      <c r="B20" s="1"/>
      <c r="C20" s="10"/>
      <c r="D20" s="1" t="s">
        <v>11</v>
      </c>
      <c r="E20" s="1"/>
      <c r="F20" s="1"/>
      <c r="G20" s="1"/>
      <c r="H20" s="1"/>
      <c r="I20" s="1"/>
      <c r="J20" s="1"/>
      <c r="K20" s="1"/>
      <c r="L20" s="1"/>
      <c r="M20" s="1"/>
      <c r="N20" s="1"/>
      <c r="O20" s="1"/>
      <c r="P20" s="1"/>
    </row>
    <row r="21" spans="1:16">
      <c r="A21" s="1"/>
      <c r="B21" s="1"/>
      <c r="C21" s="1"/>
      <c r="D21" s="96" t="s">
        <v>12</v>
      </c>
      <c r="E21" s="1"/>
      <c r="F21" s="1"/>
      <c r="G21" s="1"/>
      <c r="H21" s="1"/>
      <c r="I21" s="1"/>
      <c r="J21" s="1"/>
      <c r="K21" s="1"/>
      <c r="L21" s="1"/>
      <c r="M21" s="1"/>
      <c r="N21" s="1"/>
      <c r="O21" s="1"/>
      <c r="P21" s="1"/>
    </row>
    <row r="22" spans="1:16">
      <c r="A22" s="1"/>
      <c r="B22" s="1"/>
      <c r="C22" s="1"/>
      <c r="D22" s="11" t="s">
        <v>13</v>
      </c>
      <c r="E22" s="1"/>
      <c r="F22" s="1"/>
      <c r="G22" s="1"/>
      <c r="H22" s="1"/>
      <c r="I22" s="1"/>
      <c r="J22" s="1"/>
      <c r="K22" s="1"/>
      <c r="L22" s="1"/>
      <c r="M22" s="1"/>
      <c r="N22" s="1"/>
      <c r="O22" s="1"/>
      <c r="P22" s="1"/>
    </row>
    <row r="23" spans="1:16">
      <c r="A23" s="17"/>
      <c r="B23" s="17"/>
      <c r="C23" s="17"/>
      <c r="D23" s="41" t="s">
        <v>14</v>
      </c>
      <c r="E23" s="17"/>
      <c r="F23" s="17"/>
      <c r="G23" s="17"/>
      <c r="H23" s="17"/>
      <c r="I23" s="17"/>
      <c r="J23" s="17"/>
      <c r="K23" s="17"/>
      <c r="L23" s="17"/>
      <c r="M23" s="17"/>
      <c r="N23" s="17"/>
      <c r="O23" s="17"/>
      <c r="P23" s="17"/>
    </row>
    <row r="24" spans="1:16">
      <c r="A24" s="17"/>
      <c r="B24" s="17"/>
      <c r="C24" s="17"/>
      <c r="D24" s="194" t="s">
        <v>15</v>
      </c>
      <c r="E24" s="17"/>
      <c r="F24" s="17"/>
      <c r="G24" s="17"/>
      <c r="H24" s="17"/>
      <c r="I24" s="17"/>
      <c r="J24" s="17"/>
      <c r="K24" s="17"/>
      <c r="L24" s="17"/>
      <c r="M24" s="17"/>
      <c r="N24" s="17"/>
      <c r="O24" s="17"/>
      <c r="P24" s="17"/>
    </row>
    <row r="25" spans="1:16">
      <c r="A25" s="17"/>
      <c r="B25" s="17"/>
      <c r="C25" s="17"/>
      <c r="D25" s="17"/>
      <c r="E25" s="17"/>
      <c r="F25" s="17"/>
      <c r="G25" s="17"/>
      <c r="H25" s="17"/>
      <c r="I25" s="17"/>
      <c r="J25" s="17"/>
      <c r="K25" s="17"/>
      <c r="L25" s="17"/>
      <c r="M25" s="17"/>
      <c r="N25" s="17"/>
      <c r="O25" s="17"/>
      <c r="P25" s="17"/>
    </row>
    <row r="26" spans="1:16" hidden="1">
      <c r="A26" s="17"/>
      <c r="B26" s="17"/>
      <c r="C26" s="17"/>
      <c r="D26" s="17"/>
      <c r="E26" s="17"/>
      <c r="F26" s="17"/>
      <c r="G26" s="17"/>
      <c r="H26" s="17"/>
      <c r="I26" s="17"/>
      <c r="J26" s="17"/>
      <c r="K26" s="17"/>
      <c r="L26" s="17"/>
      <c r="M26" s="17"/>
      <c r="N26" s="17"/>
      <c r="O26" s="17"/>
      <c r="P26" s="17"/>
    </row>
  </sheetData>
  <mergeCells count="1">
    <mergeCell ref="B6:O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B380-2FAF-49D1-A516-D6835EAB5F3B}">
  <sheetPr>
    <tabColor rgb="FFFFC000"/>
  </sheetPr>
  <dimension ref="A1:I32"/>
  <sheetViews>
    <sheetView showGridLines="0" zoomScaleNormal="100" workbookViewId="0"/>
  </sheetViews>
  <sheetFormatPr defaultColWidth="9.28515625" defaultRowHeight="15"/>
  <cols>
    <col min="1" max="1" width="5" customWidth="1"/>
    <col min="2" max="2" width="23.42578125" bestFit="1" customWidth="1"/>
    <col min="3" max="4" width="5" customWidth="1"/>
    <col min="5" max="5" width="30.5703125" customWidth="1"/>
    <col min="6" max="6" width="20.42578125" customWidth="1"/>
    <col min="7" max="7" width="20.42578125" style="19" customWidth="1"/>
    <col min="8" max="8" width="20.42578125" customWidth="1"/>
    <col min="9" max="9" width="17.7109375" bestFit="1" customWidth="1"/>
    <col min="10" max="11" width="15.28515625" bestFit="1" customWidth="1"/>
    <col min="12" max="12" width="17.7109375" bestFit="1" customWidth="1"/>
    <col min="13" max="18" width="15.28515625" customWidth="1"/>
  </cols>
  <sheetData>
    <row r="1" spans="1:9">
      <c r="A1" s="12" t="s">
        <v>261</v>
      </c>
    </row>
    <row r="3" spans="1:9" ht="14.1" customHeight="1">
      <c r="A3" s="12" t="s">
        <v>282</v>
      </c>
      <c r="E3" s="12"/>
      <c r="F3" s="44"/>
      <c r="G3" s="46"/>
      <c r="H3" s="45"/>
    </row>
    <row r="4" spans="1:9" ht="14.1" customHeight="1">
      <c r="A4" s="12"/>
      <c r="E4" s="12"/>
      <c r="F4" s="46" t="s">
        <v>41</v>
      </c>
      <c r="G4" s="46" t="s">
        <v>39</v>
      </c>
      <c r="H4" s="195"/>
    </row>
    <row r="5" spans="1:9" ht="14.1" customHeight="1">
      <c r="A5" s="12"/>
      <c r="B5" s="12" t="s">
        <v>283</v>
      </c>
      <c r="E5" t="s">
        <v>284</v>
      </c>
      <c r="F5" s="19" t="s">
        <v>285</v>
      </c>
      <c r="G5" s="203">
        <f>40000</f>
        <v>40000</v>
      </c>
      <c r="H5" s="204" t="s">
        <v>286</v>
      </c>
    </row>
    <row r="6" spans="1:9" ht="14.1" customHeight="1">
      <c r="A6" s="12"/>
      <c r="E6" t="s">
        <v>287</v>
      </c>
      <c r="F6" s="19" t="s">
        <v>285</v>
      </c>
      <c r="G6" s="203">
        <f>1439</f>
        <v>1439</v>
      </c>
      <c r="H6" s="204" t="s">
        <v>286</v>
      </c>
    </row>
    <row r="7" spans="1:9" ht="14.1" customHeight="1">
      <c r="A7" s="12"/>
      <c r="E7" t="s">
        <v>288</v>
      </c>
      <c r="F7" s="19" t="s">
        <v>285</v>
      </c>
      <c r="G7" s="202">
        <f>SUM(G5:G6)</f>
        <v>41439</v>
      </c>
      <c r="H7" s="204"/>
    </row>
    <row r="8" spans="1:9" ht="14.1" customHeight="1">
      <c r="A8" s="12"/>
      <c r="E8" t="s">
        <v>288</v>
      </c>
      <c r="F8" s="19" t="s">
        <v>46</v>
      </c>
      <c r="G8" s="202">
        <f>G7/(1+escalation_rate)</f>
        <v>39093.39622641509</v>
      </c>
      <c r="H8" s="46"/>
    </row>
    <row r="9" spans="1:9" ht="14.1" customHeight="1">
      <c r="A9" s="12"/>
      <c r="E9" s="12"/>
      <c r="F9" s="44"/>
      <c r="G9" s="46"/>
      <c r="H9" s="45"/>
    </row>
    <row r="10" spans="1:9" ht="30">
      <c r="A10" s="12"/>
      <c r="E10" s="12" t="s">
        <v>133</v>
      </c>
      <c r="F10" s="205" t="s">
        <v>289</v>
      </c>
      <c r="G10" s="205" t="s">
        <v>391</v>
      </c>
      <c r="H10" s="205" t="s">
        <v>392</v>
      </c>
    </row>
    <row r="11" spans="1:9" ht="14.1" customHeight="1">
      <c r="A11" s="12"/>
      <c r="E11" s="171">
        <f>'Project Assumptions'!G10</f>
        <v>2027</v>
      </c>
      <c r="F11" s="196">
        <f t="shared" ref="F11:F30" si="0">$G$8</f>
        <v>39093.39622641509</v>
      </c>
      <c r="G11" s="196">
        <v>0</v>
      </c>
      <c r="H11" s="284">
        <f>G11-F11</f>
        <v>-39093.39622641509</v>
      </c>
    </row>
    <row r="12" spans="1:9" ht="14.1" customHeight="1">
      <c r="A12" s="12"/>
      <c r="E12" s="19">
        <f>E11+1</f>
        <v>2028</v>
      </c>
      <c r="F12" s="196">
        <f t="shared" si="0"/>
        <v>39093.39622641509</v>
      </c>
      <c r="G12" s="196">
        <v>0</v>
      </c>
      <c r="H12" s="284">
        <f t="shared" ref="H12:H31" si="1">G12-F12</f>
        <v>-39093.39622641509</v>
      </c>
      <c r="I12" s="197"/>
    </row>
    <row r="13" spans="1:9" ht="14.1" customHeight="1">
      <c r="A13" s="12"/>
      <c r="E13" s="19">
        <f t="shared" ref="E13:E30" si="2">E12+1</f>
        <v>2029</v>
      </c>
      <c r="F13" s="196">
        <f t="shared" si="0"/>
        <v>39093.39622641509</v>
      </c>
      <c r="G13" s="196">
        <v>0</v>
      </c>
      <c r="H13" s="284">
        <f t="shared" si="1"/>
        <v>-39093.39622641509</v>
      </c>
    </row>
    <row r="14" spans="1:9" ht="14.1" customHeight="1">
      <c r="A14" s="12"/>
      <c r="E14" s="19">
        <f t="shared" si="2"/>
        <v>2030</v>
      </c>
      <c r="F14" s="196">
        <f t="shared" si="0"/>
        <v>39093.39622641509</v>
      </c>
      <c r="G14" s="196">
        <v>0</v>
      </c>
      <c r="H14" s="284">
        <f t="shared" si="1"/>
        <v>-39093.39622641509</v>
      </c>
    </row>
    <row r="15" spans="1:9" ht="14.1" customHeight="1">
      <c r="A15" s="12"/>
      <c r="E15" s="19">
        <f t="shared" si="2"/>
        <v>2031</v>
      </c>
      <c r="F15" s="196">
        <f t="shared" si="0"/>
        <v>39093.39622641509</v>
      </c>
      <c r="G15" s="196">
        <v>0</v>
      </c>
      <c r="H15" s="284">
        <f t="shared" si="1"/>
        <v>-39093.39622641509</v>
      </c>
    </row>
    <row r="16" spans="1:9" ht="14.1" customHeight="1">
      <c r="A16" s="12"/>
      <c r="E16" s="19">
        <f t="shared" si="2"/>
        <v>2032</v>
      </c>
      <c r="F16" s="196">
        <f t="shared" si="0"/>
        <v>39093.39622641509</v>
      </c>
      <c r="G16" s="196">
        <v>0</v>
      </c>
      <c r="H16" s="284">
        <f t="shared" si="1"/>
        <v>-39093.39622641509</v>
      </c>
    </row>
    <row r="17" spans="1:8" ht="14.1" customHeight="1">
      <c r="A17" s="12"/>
      <c r="E17" s="19">
        <f t="shared" si="2"/>
        <v>2033</v>
      </c>
      <c r="F17" s="196">
        <f t="shared" si="0"/>
        <v>39093.39622641509</v>
      </c>
      <c r="G17" s="196">
        <v>0</v>
      </c>
      <c r="H17" s="284">
        <f t="shared" si="1"/>
        <v>-39093.39622641509</v>
      </c>
    </row>
    <row r="18" spans="1:8" ht="14.1" customHeight="1">
      <c r="A18" s="12"/>
      <c r="E18" s="19">
        <f t="shared" si="2"/>
        <v>2034</v>
      </c>
      <c r="F18" s="196">
        <f t="shared" si="0"/>
        <v>39093.39622641509</v>
      </c>
      <c r="G18" s="196">
        <v>0</v>
      </c>
      <c r="H18" s="284">
        <f t="shared" si="1"/>
        <v>-39093.39622641509</v>
      </c>
    </row>
    <row r="19" spans="1:8" ht="14.1" customHeight="1">
      <c r="A19" s="12"/>
      <c r="E19" s="19">
        <f t="shared" si="2"/>
        <v>2035</v>
      </c>
      <c r="F19" s="196">
        <f t="shared" si="0"/>
        <v>39093.39622641509</v>
      </c>
      <c r="G19" s="196">
        <v>0</v>
      </c>
      <c r="H19" s="284">
        <f t="shared" si="1"/>
        <v>-39093.39622641509</v>
      </c>
    </row>
    <row r="20" spans="1:8" ht="14.1" customHeight="1">
      <c r="A20" s="12"/>
      <c r="E20" s="19">
        <f t="shared" si="2"/>
        <v>2036</v>
      </c>
      <c r="F20" s="196">
        <f t="shared" si="0"/>
        <v>39093.39622641509</v>
      </c>
      <c r="G20" s="196">
        <v>0</v>
      </c>
      <c r="H20" s="284">
        <f t="shared" si="1"/>
        <v>-39093.39622641509</v>
      </c>
    </row>
    <row r="21" spans="1:8" ht="14.1" customHeight="1">
      <c r="A21" s="12"/>
      <c r="E21" s="19">
        <f t="shared" si="2"/>
        <v>2037</v>
      </c>
      <c r="F21" s="196">
        <f t="shared" si="0"/>
        <v>39093.39622641509</v>
      </c>
      <c r="G21" s="196">
        <v>0</v>
      </c>
      <c r="H21" s="284">
        <f t="shared" si="1"/>
        <v>-39093.39622641509</v>
      </c>
    </row>
    <row r="22" spans="1:8" ht="14.1" customHeight="1">
      <c r="A22" s="12"/>
      <c r="E22" s="19">
        <f t="shared" si="2"/>
        <v>2038</v>
      </c>
      <c r="F22" s="196">
        <f t="shared" si="0"/>
        <v>39093.39622641509</v>
      </c>
      <c r="G22" s="196">
        <v>0</v>
      </c>
      <c r="H22" s="284">
        <f t="shared" si="1"/>
        <v>-39093.39622641509</v>
      </c>
    </row>
    <row r="23" spans="1:8" ht="14.1" customHeight="1">
      <c r="A23" s="12"/>
      <c r="E23" s="19">
        <f t="shared" si="2"/>
        <v>2039</v>
      </c>
      <c r="F23" s="196">
        <f t="shared" si="0"/>
        <v>39093.39622641509</v>
      </c>
      <c r="G23" s="196">
        <v>0</v>
      </c>
      <c r="H23" s="284">
        <f t="shared" si="1"/>
        <v>-39093.39622641509</v>
      </c>
    </row>
    <row r="24" spans="1:8" ht="14.1" customHeight="1">
      <c r="A24" s="12"/>
      <c r="E24" s="19">
        <f t="shared" si="2"/>
        <v>2040</v>
      </c>
      <c r="F24" s="196">
        <f t="shared" si="0"/>
        <v>39093.39622641509</v>
      </c>
      <c r="G24" s="196">
        <v>0</v>
      </c>
      <c r="H24" s="284">
        <f t="shared" si="1"/>
        <v>-39093.39622641509</v>
      </c>
    </row>
    <row r="25" spans="1:8" ht="14.1" customHeight="1">
      <c r="A25" s="12"/>
      <c r="E25" s="19">
        <f t="shared" si="2"/>
        <v>2041</v>
      </c>
      <c r="F25" s="196">
        <f t="shared" si="0"/>
        <v>39093.39622641509</v>
      </c>
      <c r="G25" s="196">
        <v>0</v>
      </c>
      <c r="H25" s="284">
        <f t="shared" si="1"/>
        <v>-39093.39622641509</v>
      </c>
    </row>
    <row r="26" spans="1:8" ht="14.1" customHeight="1">
      <c r="A26" s="12"/>
      <c r="E26" s="19">
        <f t="shared" si="2"/>
        <v>2042</v>
      </c>
      <c r="F26" s="196">
        <f t="shared" si="0"/>
        <v>39093.39622641509</v>
      </c>
      <c r="G26" s="196">
        <v>0</v>
      </c>
      <c r="H26" s="284">
        <f t="shared" si="1"/>
        <v>-39093.39622641509</v>
      </c>
    </row>
    <row r="27" spans="1:8" ht="14.1" customHeight="1">
      <c r="A27" s="12"/>
      <c r="E27" s="19">
        <f t="shared" si="2"/>
        <v>2043</v>
      </c>
      <c r="F27" s="196">
        <f t="shared" si="0"/>
        <v>39093.39622641509</v>
      </c>
      <c r="G27" s="196">
        <v>0</v>
      </c>
      <c r="H27" s="284">
        <f t="shared" si="1"/>
        <v>-39093.39622641509</v>
      </c>
    </row>
    <row r="28" spans="1:8" ht="14.1" customHeight="1">
      <c r="A28" s="12"/>
      <c r="E28" s="19">
        <f t="shared" si="2"/>
        <v>2044</v>
      </c>
      <c r="F28" s="196">
        <f t="shared" si="0"/>
        <v>39093.39622641509</v>
      </c>
      <c r="G28" s="196">
        <v>0</v>
      </c>
      <c r="H28" s="284">
        <f t="shared" si="1"/>
        <v>-39093.39622641509</v>
      </c>
    </row>
    <row r="29" spans="1:8" ht="14.1" customHeight="1">
      <c r="A29" s="12"/>
      <c r="E29" s="19">
        <f t="shared" si="2"/>
        <v>2045</v>
      </c>
      <c r="F29" s="196">
        <f t="shared" si="0"/>
        <v>39093.39622641509</v>
      </c>
      <c r="G29" s="196">
        <v>0</v>
      </c>
      <c r="H29" s="284">
        <f t="shared" si="1"/>
        <v>-39093.39622641509</v>
      </c>
    </row>
    <row r="30" spans="1:8" ht="14.1" customHeight="1">
      <c r="A30" s="12"/>
      <c r="E30" s="19">
        <f t="shared" si="2"/>
        <v>2046</v>
      </c>
      <c r="F30" s="196">
        <f t="shared" si="0"/>
        <v>39093.39622641509</v>
      </c>
      <c r="G30" s="196">
        <v>0</v>
      </c>
      <c r="H30" s="284">
        <f t="shared" si="1"/>
        <v>-39093.39622641509</v>
      </c>
    </row>
    <row r="31" spans="1:8" ht="14.1" customHeight="1">
      <c r="A31" s="12"/>
      <c r="E31" s="12" t="s">
        <v>139</v>
      </c>
      <c r="F31" s="339">
        <f>SUM(F11:F30)</f>
        <v>781867.92452830146</v>
      </c>
      <c r="G31" s="339">
        <f t="shared" ref="G31" si="3">SUM(G11:G30)</f>
        <v>0</v>
      </c>
      <c r="H31" s="340">
        <f t="shared" si="1"/>
        <v>-781867.92452830146</v>
      </c>
    </row>
    <row r="32" spans="1:8">
      <c r="E32" s="42"/>
      <c r="F32" s="42"/>
      <c r="H32" s="43"/>
    </row>
  </sheetData>
  <pageMargins left="0.7" right="0.7" top="0.75" bottom="0.75" header="0.3" footer="0.3"/>
  <pageSetup orientation="portrait" horizont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23DC2-0C5C-492B-A8C3-9C623342D8DE}">
  <sheetPr>
    <tabColor rgb="FFFFC000"/>
  </sheetPr>
  <dimension ref="A1:X196"/>
  <sheetViews>
    <sheetView showGridLines="0" topLeftCell="C169" zoomScale="85" zoomScaleNormal="85" workbookViewId="0">
      <selection activeCell="E188" sqref="E188"/>
    </sheetView>
  </sheetViews>
  <sheetFormatPr defaultColWidth="9.28515625" defaultRowHeight="15"/>
  <cols>
    <col min="1" max="4" width="4.28515625" customWidth="1"/>
    <col min="5" max="5" width="34.7109375" customWidth="1"/>
    <col min="6" max="6" width="17.28515625" style="19" customWidth="1"/>
    <col min="7" max="7" width="18" style="19" customWidth="1"/>
    <col min="8" max="8" width="14.28515625" style="19" customWidth="1"/>
    <col min="9" max="9" width="17.7109375" customWidth="1"/>
    <col min="10" max="10" width="15" style="19" bestFit="1" customWidth="1"/>
    <col min="11" max="11" width="17.7109375" customWidth="1"/>
    <col min="12" max="12" width="11.7109375" customWidth="1"/>
    <col min="13" max="14" width="10.28515625" bestFit="1" customWidth="1"/>
    <col min="15" max="16" width="12.7109375" customWidth="1"/>
    <col min="17" max="20" width="10.28515625" bestFit="1" customWidth="1"/>
    <col min="21" max="24" width="9.7109375" bestFit="1" customWidth="1"/>
  </cols>
  <sheetData>
    <row r="1" spans="1:24">
      <c r="A1" s="12" t="s">
        <v>290</v>
      </c>
    </row>
    <row r="3" spans="1:24">
      <c r="A3" s="12" t="s">
        <v>262</v>
      </c>
      <c r="E3" s="12"/>
      <c r="F3" s="21"/>
      <c r="G3"/>
      <c r="H3" s="12"/>
      <c r="I3" s="12"/>
      <c r="J3" s="45"/>
      <c r="L3" s="48"/>
      <c r="M3" s="48"/>
      <c r="N3" s="48"/>
      <c r="O3" s="48"/>
      <c r="P3" s="48"/>
      <c r="Q3" s="48"/>
      <c r="R3" s="48"/>
      <c r="S3" s="48"/>
      <c r="T3" s="48"/>
      <c r="U3" s="48"/>
      <c r="V3" s="48"/>
      <c r="W3" s="48"/>
      <c r="X3" s="48"/>
    </row>
    <row r="4" spans="1:24">
      <c r="A4" s="12"/>
      <c r="E4" s="406" t="s">
        <v>263</v>
      </c>
      <c r="F4" s="406"/>
      <c r="G4" s="406"/>
      <c r="H4" s="406"/>
      <c r="I4" s="406"/>
      <c r="J4" s="406"/>
      <c r="L4" s="48"/>
      <c r="M4" s="48"/>
      <c r="N4" s="48"/>
      <c r="O4" s="48"/>
      <c r="P4" s="48"/>
      <c r="Q4" s="48"/>
      <c r="R4" s="48"/>
      <c r="S4" s="48"/>
      <c r="T4" s="48"/>
      <c r="U4" s="48"/>
      <c r="V4" s="48"/>
      <c r="W4" s="48"/>
      <c r="X4" s="48"/>
    </row>
    <row r="5" spans="1:24">
      <c r="A5" s="12"/>
      <c r="E5" s="406"/>
      <c r="F5" s="406"/>
      <c r="G5" s="406"/>
      <c r="H5" s="406"/>
      <c r="I5" s="406"/>
      <c r="J5" s="406"/>
      <c r="L5" s="48"/>
      <c r="M5" s="48"/>
      <c r="N5" s="48"/>
      <c r="O5" s="48"/>
      <c r="P5" s="48"/>
      <c r="Q5" s="48"/>
      <c r="R5" s="48"/>
      <c r="S5" s="48"/>
      <c r="T5" s="48"/>
      <c r="U5" s="48"/>
      <c r="V5" s="48"/>
      <c r="W5" s="48"/>
      <c r="X5" s="48"/>
    </row>
    <row r="6" spans="1:24">
      <c r="A6" s="12"/>
      <c r="E6" s="406"/>
      <c r="F6" s="406"/>
      <c r="G6" s="406"/>
      <c r="H6" s="406"/>
      <c r="I6" s="406"/>
      <c r="J6" s="406"/>
      <c r="L6" s="48"/>
      <c r="M6" s="48"/>
      <c r="N6" s="48"/>
      <c r="O6" s="48"/>
      <c r="P6" s="48"/>
      <c r="Q6" s="48"/>
      <c r="R6" s="48"/>
      <c r="S6" s="48"/>
      <c r="T6" s="48"/>
      <c r="U6" s="48"/>
      <c r="V6" s="48"/>
      <c r="W6" s="48"/>
      <c r="X6" s="48"/>
    </row>
    <row r="7" spans="1:24">
      <c r="A7" s="12"/>
      <c r="E7" s="406"/>
      <c r="F7" s="406"/>
      <c r="G7" s="406"/>
      <c r="H7" s="406"/>
      <c r="I7" s="406"/>
      <c r="J7" s="406"/>
      <c r="L7" s="48"/>
      <c r="M7" s="48"/>
      <c r="N7" s="48"/>
      <c r="O7" s="48"/>
      <c r="P7" s="48"/>
      <c r="Q7" s="48"/>
      <c r="R7" s="48"/>
      <c r="S7" s="48"/>
      <c r="T7" s="48"/>
      <c r="U7" s="48"/>
      <c r="V7" s="48"/>
      <c r="W7" s="48"/>
      <c r="X7" s="48"/>
    </row>
    <row r="8" spans="1:24">
      <c r="A8" s="12"/>
      <c r="E8" s="12"/>
      <c r="F8" s="21"/>
      <c r="G8" s="12"/>
      <c r="H8" s="12"/>
      <c r="I8" s="12"/>
      <c r="J8" s="45"/>
      <c r="L8" s="48"/>
      <c r="M8" s="48"/>
      <c r="N8" s="48"/>
      <c r="O8" s="48"/>
      <c r="P8" s="48"/>
      <c r="Q8" s="48"/>
      <c r="R8" s="48"/>
      <c r="S8" s="48"/>
      <c r="T8" s="48"/>
      <c r="U8" s="48"/>
      <c r="V8" s="48"/>
      <c r="W8" s="48"/>
      <c r="X8" s="48"/>
    </row>
    <row r="9" spans="1:24">
      <c r="A9" s="12"/>
      <c r="E9" s="26"/>
      <c r="F9" s="21"/>
      <c r="G9" s="12"/>
      <c r="H9" s="12"/>
      <c r="I9" s="12"/>
      <c r="J9" s="45"/>
      <c r="L9" s="48"/>
      <c r="M9" s="48"/>
      <c r="N9" s="48"/>
      <c r="O9" s="48"/>
      <c r="P9" s="48"/>
      <c r="Q9" s="48"/>
      <c r="R9" s="48"/>
      <c r="S9" s="48"/>
      <c r="T9" s="48"/>
      <c r="U9" s="48"/>
      <c r="V9" s="48"/>
      <c r="W9" s="48"/>
      <c r="X9" s="48"/>
    </row>
    <row r="10" spans="1:24">
      <c r="G10" s="92"/>
      <c r="H10" s="75"/>
      <c r="I10" s="60"/>
      <c r="J10" s="60"/>
      <c r="K10" s="50"/>
    </row>
    <row r="11" spans="1:24">
      <c r="E11" t="s">
        <v>88</v>
      </c>
      <c r="F11" s="19" t="s">
        <v>62</v>
      </c>
      <c r="G11" s="111" t="e">
        <f>'Project Assumptions'!#REF!</f>
        <v>#REF!</v>
      </c>
      <c r="H11" s="75"/>
      <c r="I11" s="60"/>
      <c r="J11" s="60"/>
      <c r="K11" s="50"/>
    </row>
    <row r="12" spans="1:24">
      <c r="G12" s="166"/>
      <c r="H12" s="75"/>
      <c r="I12" s="60"/>
      <c r="J12" s="60"/>
      <c r="K12" s="50"/>
    </row>
    <row r="13" spans="1:24">
      <c r="A13" s="12" t="s">
        <v>264</v>
      </c>
      <c r="G13" s="92"/>
      <c r="H13" s="75"/>
      <c r="I13" s="60"/>
      <c r="J13" s="60"/>
      <c r="K13" s="50"/>
    </row>
    <row r="14" spans="1:24">
      <c r="A14" s="12"/>
      <c r="B14" s="12" t="s">
        <v>265</v>
      </c>
      <c r="D14" s="12"/>
      <c r="G14" s="92"/>
      <c r="H14" s="75"/>
      <c r="I14" s="60"/>
      <c r="J14" s="60"/>
      <c r="K14" s="50"/>
      <c r="O14" s="19"/>
      <c r="P14" s="19"/>
    </row>
    <row r="15" spans="1:24" ht="30">
      <c r="E15" t="s">
        <v>144</v>
      </c>
      <c r="F15" s="19" t="s">
        <v>41</v>
      </c>
      <c r="G15" s="90">
        <v>2017</v>
      </c>
      <c r="H15" s="158">
        <v>2018</v>
      </c>
      <c r="I15" s="90">
        <v>2019</v>
      </c>
      <c r="J15" s="90">
        <v>2020</v>
      </c>
      <c r="K15" s="90">
        <v>2021</v>
      </c>
      <c r="L15" s="19" t="s">
        <v>139</v>
      </c>
      <c r="M15" s="118" t="s">
        <v>266</v>
      </c>
      <c r="O15" s="19">
        <v>2021</v>
      </c>
      <c r="P15" s="19">
        <v>2045</v>
      </c>
    </row>
    <row r="16" spans="1:24">
      <c r="E16" t="s">
        <v>119</v>
      </c>
      <c r="F16" s="19" t="s">
        <v>236</v>
      </c>
      <c r="G16" s="120">
        <v>0</v>
      </c>
      <c r="H16" s="121">
        <v>0</v>
      </c>
      <c r="I16" s="122">
        <v>0</v>
      </c>
      <c r="J16" s="122">
        <v>0</v>
      </c>
      <c r="K16" s="122">
        <v>0</v>
      </c>
      <c r="L16" s="161">
        <f>SUM(G16:K16)</f>
        <v>0</v>
      </c>
      <c r="M16" s="162">
        <f>L16/5</f>
        <v>0</v>
      </c>
      <c r="O16" s="119">
        <f>M16</f>
        <v>0</v>
      </c>
      <c r="P16" s="119" t="e">
        <f t="shared" ref="P16:P22" si="0">O16*(1+$G$11)^($P$15-$O$15)</f>
        <v>#REF!</v>
      </c>
    </row>
    <row r="17" spans="1:18">
      <c r="E17" t="s">
        <v>145</v>
      </c>
      <c r="F17" s="19" t="s">
        <v>236</v>
      </c>
      <c r="G17" s="123">
        <v>1</v>
      </c>
      <c r="H17" s="159">
        <v>4</v>
      </c>
      <c r="I17" s="74">
        <v>3</v>
      </c>
      <c r="J17" s="74">
        <v>4</v>
      </c>
      <c r="K17" s="74">
        <v>4</v>
      </c>
      <c r="L17" s="117">
        <f t="shared" ref="L17:L21" si="1">SUM(G17:K17)</f>
        <v>16</v>
      </c>
      <c r="M17" s="163">
        <f t="shared" ref="M17:M21" si="2">L17/5</f>
        <v>3.2</v>
      </c>
      <c r="O17" s="119">
        <f t="shared" ref="O17:O21" si="3">M17</f>
        <v>3.2</v>
      </c>
      <c r="P17" s="119" t="e">
        <f t="shared" si="0"/>
        <v>#REF!</v>
      </c>
      <c r="R17" s="12" t="s">
        <v>291</v>
      </c>
    </row>
    <row r="18" spans="1:18">
      <c r="E18" t="s">
        <v>120</v>
      </c>
      <c r="F18" s="19" t="s">
        <v>236</v>
      </c>
      <c r="G18" s="123">
        <v>3</v>
      </c>
      <c r="H18" s="159">
        <v>1</v>
      </c>
      <c r="I18" s="74">
        <v>2</v>
      </c>
      <c r="J18" s="74">
        <v>3</v>
      </c>
      <c r="K18" s="74">
        <v>3</v>
      </c>
      <c r="L18" s="117">
        <f t="shared" si="1"/>
        <v>12</v>
      </c>
      <c r="M18" s="163">
        <f t="shared" si="2"/>
        <v>2.4</v>
      </c>
      <c r="O18" s="119">
        <f t="shared" si="3"/>
        <v>2.4</v>
      </c>
      <c r="P18" s="119" t="e">
        <f t="shared" si="0"/>
        <v>#REF!</v>
      </c>
    </row>
    <row r="19" spans="1:18">
      <c r="E19" t="s">
        <v>267</v>
      </c>
      <c r="F19" s="19" t="s">
        <v>236</v>
      </c>
      <c r="G19" s="123">
        <v>0</v>
      </c>
      <c r="H19" s="159">
        <v>1</v>
      </c>
      <c r="I19" s="74">
        <v>2</v>
      </c>
      <c r="J19" s="74">
        <v>0</v>
      </c>
      <c r="K19" s="74">
        <v>0</v>
      </c>
      <c r="L19" s="117">
        <f t="shared" si="1"/>
        <v>3</v>
      </c>
      <c r="M19" s="163">
        <f t="shared" si="2"/>
        <v>0.6</v>
      </c>
      <c r="O19" s="119">
        <f t="shared" si="3"/>
        <v>0.6</v>
      </c>
      <c r="P19" s="119" t="e">
        <f t="shared" si="0"/>
        <v>#REF!</v>
      </c>
    </row>
    <row r="20" spans="1:18">
      <c r="E20" t="s">
        <v>121</v>
      </c>
      <c r="F20" s="19" t="s">
        <v>236</v>
      </c>
      <c r="G20" s="123">
        <v>0</v>
      </c>
      <c r="H20" s="159">
        <v>0</v>
      </c>
      <c r="I20" s="74">
        <v>0</v>
      </c>
      <c r="J20" s="74">
        <v>0</v>
      </c>
      <c r="K20" s="74">
        <v>0</v>
      </c>
      <c r="L20" s="117">
        <f t="shared" si="1"/>
        <v>0</v>
      </c>
      <c r="M20" s="163">
        <f t="shared" si="2"/>
        <v>0</v>
      </c>
      <c r="O20" s="119">
        <f t="shared" si="3"/>
        <v>0</v>
      </c>
      <c r="P20" s="119" t="e">
        <f t="shared" si="0"/>
        <v>#REF!</v>
      </c>
    </row>
    <row r="21" spans="1:18">
      <c r="E21" t="s">
        <v>146</v>
      </c>
      <c r="F21" s="19" t="s">
        <v>236</v>
      </c>
      <c r="G21" s="123">
        <v>17</v>
      </c>
      <c r="H21" s="159">
        <v>25</v>
      </c>
      <c r="I21" s="74">
        <v>19</v>
      </c>
      <c r="J21" s="74">
        <v>22</v>
      </c>
      <c r="K21" s="74">
        <v>17</v>
      </c>
      <c r="L21" s="117">
        <f t="shared" si="1"/>
        <v>100</v>
      </c>
      <c r="M21" s="163">
        <f t="shared" si="2"/>
        <v>20</v>
      </c>
      <c r="O21" s="119">
        <f t="shared" si="3"/>
        <v>20</v>
      </c>
      <c r="P21" s="119" t="e">
        <f t="shared" si="0"/>
        <v>#REF!</v>
      </c>
    </row>
    <row r="22" spans="1:18">
      <c r="E22" t="s">
        <v>139</v>
      </c>
      <c r="F22" s="19" t="s">
        <v>236</v>
      </c>
      <c r="G22" s="124">
        <f>SUM(G16:G21)</f>
        <v>21</v>
      </c>
      <c r="H22" s="125">
        <f t="shared" ref="H22" si="4">SUM(H16:H21)</f>
        <v>31</v>
      </c>
      <c r="I22" s="125">
        <f t="shared" ref="I22" si="5">SUM(I16:I21)</f>
        <v>26</v>
      </c>
      <c r="J22" s="125">
        <f t="shared" ref="J22" si="6">SUM(J16:J21)</f>
        <v>29</v>
      </c>
      <c r="K22" s="125">
        <f t="shared" ref="K22" si="7">SUM(K16:K21)</f>
        <v>24</v>
      </c>
      <c r="L22" s="125">
        <f>SUM(L16:L21)</f>
        <v>131</v>
      </c>
      <c r="M22" s="164">
        <f>L22/5</f>
        <v>26.2</v>
      </c>
      <c r="O22" s="119">
        <f>M22</f>
        <v>26.2</v>
      </c>
      <c r="P22" s="119" t="e">
        <f t="shared" si="0"/>
        <v>#REF!</v>
      </c>
    </row>
    <row r="23" spans="1:18">
      <c r="G23" s="165"/>
      <c r="H23" s="165"/>
      <c r="I23" s="165"/>
      <c r="J23" s="165"/>
      <c r="K23" s="165"/>
      <c r="L23" s="165"/>
      <c r="M23" s="51"/>
      <c r="O23" s="51"/>
      <c r="P23" s="51"/>
    </row>
    <row r="24" spans="1:18">
      <c r="A24" s="12"/>
      <c r="B24" s="12" t="s">
        <v>292</v>
      </c>
      <c r="D24" s="12"/>
      <c r="G24" s="92"/>
      <c r="H24" s="75"/>
      <c r="I24" s="60"/>
      <c r="J24" s="60"/>
      <c r="K24" s="50"/>
      <c r="O24" s="19"/>
      <c r="P24" s="19"/>
    </row>
    <row r="25" spans="1:18" ht="30">
      <c r="E25" t="s">
        <v>144</v>
      </c>
      <c r="F25" s="19" t="s">
        <v>41</v>
      </c>
      <c r="G25" s="90">
        <v>2017</v>
      </c>
      <c r="H25" s="158">
        <v>2018</v>
      </c>
      <c r="I25" s="90">
        <v>2019</v>
      </c>
      <c r="J25" s="90">
        <v>2020</v>
      </c>
      <c r="K25" s="90">
        <v>2021</v>
      </c>
      <c r="L25" s="19" t="s">
        <v>139</v>
      </c>
      <c r="M25" s="118" t="s">
        <v>266</v>
      </c>
      <c r="O25" s="19">
        <v>2021</v>
      </c>
      <c r="P25" s="19">
        <v>2045</v>
      </c>
    </row>
    <row r="26" spans="1:18">
      <c r="E26" t="s">
        <v>119</v>
      </c>
      <c r="F26" s="19" t="s">
        <v>236</v>
      </c>
      <c r="G26" s="120">
        <v>0</v>
      </c>
      <c r="H26" s="121">
        <v>0</v>
      </c>
      <c r="I26" s="122">
        <v>0</v>
      </c>
      <c r="J26" s="122">
        <v>0</v>
      </c>
      <c r="K26" s="122">
        <v>0</v>
      </c>
      <c r="L26" s="161">
        <f>SUM(G26:K26)</f>
        <v>0</v>
      </c>
      <c r="M26" s="162">
        <f>L26/5</f>
        <v>0</v>
      </c>
      <c r="O26" s="119">
        <f>M26</f>
        <v>0</v>
      </c>
      <c r="P26" s="119" t="e">
        <f t="shared" ref="P26:P32" si="8">O26*(1+$G$11)^($P$25-$O$25)</f>
        <v>#REF!</v>
      </c>
    </row>
    <row r="27" spans="1:18">
      <c r="E27" t="s">
        <v>145</v>
      </c>
      <c r="F27" s="19" t="s">
        <v>236</v>
      </c>
      <c r="G27" s="123">
        <v>5</v>
      </c>
      <c r="H27" s="159">
        <v>8</v>
      </c>
      <c r="I27" s="74">
        <v>4</v>
      </c>
      <c r="J27" s="74">
        <v>0</v>
      </c>
      <c r="K27" s="74">
        <v>4</v>
      </c>
      <c r="L27" s="117">
        <f t="shared" ref="L27:L31" si="9">SUM(G27:K27)</f>
        <v>21</v>
      </c>
      <c r="M27" s="163">
        <f t="shared" ref="M27:M31" si="10">L27/5</f>
        <v>4.2</v>
      </c>
      <c r="O27" s="119">
        <f t="shared" ref="O27:O32" si="11">M27</f>
        <v>4.2</v>
      </c>
      <c r="P27" s="119" t="e">
        <f t="shared" si="8"/>
        <v>#REF!</v>
      </c>
    </row>
    <row r="28" spans="1:18">
      <c r="E28" t="s">
        <v>120</v>
      </c>
      <c r="F28" s="19" t="s">
        <v>236</v>
      </c>
      <c r="G28" s="123">
        <v>3</v>
      </c>
      <c r="H28" s="159">
        <v>1</v>
      </c>
      <c r="I28" s="74">
        <v>1</v>
      </c>
      <c r="J28" s="74">
        <v>1</v>
      </c>
      <c r="K28" s="74">
        <v>3</v>
      </c>
      <c r="L28" s="117">
        <f t="shared" si="9"/>
        <v>9</v>
      </c>
      <c r="M28" s="163">
        <f t="shared" si="10"/>
        <v>1.8</v>
      </c>
      <c r="O28" s="119">
        <f t="shared" si="11"/>
        <v>1.8</v>
      </c>
      <c r="P28" s="119" t="e">
        <f t="shared" si="8"/>
        <v>#REF!</v>
      </c>
    </row>
    <row r="29" spans="1:18">
      <c r="E29" t="s">
        <v>267</v>
      </c>
      <c r="F29" s="19" t="s">
        <v>236</v>
      </c>
      <c r="G29" s="123">
        <v>3</v>
      </c>
      <c r="H29" s="159">
        <v>0</v>
      </c>
      <c r="I29" s="74">
        <v>0</v>
      </c>
      <c r="J29" s="74">
        <v>0</v>
      </c>
      <c r="K29" s="74">
        <v>0</v>
      </c>
      <c r="L29" s="117">
        <f t="shared" si="9"/>
        <v>3</v>
      </c>
      <c r="M29" s="163">
        <f t="shared" si="10"/>
        <v>0.6</v>
      </c>
      <c r="O29" s="119">
        <f t="shared" si="11"/>
        <v>0.6</v>
      </c>
      <c r="P29" s="119" t="e">
        <f t="shared" si="8"/>
        <v>#REF!</v>
      </c>
    </row>
    <row r="30" spans="1:18">
      <c r="E30" t="s">
        <v>121</v>
      </c>
      <c r="F30" s="19" t="s">
        <v>236</v>
      </c>
      <c r="G30" s="123">
        <v>0</v>
      </c>
      <c r="H30" s="159">
        <v>0</v>
      </c>
      <c r="I30" s="74">
        <v>0</v>
      </c>
      <c r="J30" s="74">
        <v>0</v>
      </c>
      <c r="K30" s="74">
        <v>0</v>
      </c>
      <c r="L30" s="117">
        <f t="shared" si="9"/>
        <v>0</v>
      </c>
      <c r="M30" s="163">
        <f t="shared" si="10"/>
        <v>0</v>
      </c>
      <c r="O30" s="119">
        <f t="shared" si="11"/>
        <v>0</v>
      </c>
      <c r="P30" s="119" t="e">
        <f t="shared" si="8"/>
        <v>#REF!</v>
      </c>
    </row>
    <row r="31" spans="1:18">
      <c r="E31" t="s">
        <v>146</v>
      </c>
      <c r="F31" s="19" t="s">
        <v>236</v>
      </c>
      <c r="G31" s="123">
        <v>15</v>
      </c>
      <c r="H31" s="159">
        <v>25</v>
      </c>
      <c r="I31" s="74">
        <v>19</v>
      </c>
      <c r="J31" s="74">
        <v>20</v>
      </c>
      <c r="K31" s="74">
        <v>20</v>
      </c>
      <c r="L31" s="117">
        <f t="shared" si="9"/>
        <v>99</v>
      </c>
      <c r="M31" s="163">
        <f t="shared" si="10"/>
        <v>19.8</v>
      </c>
      <c r="O31" s="119">
        <f t="shared" si="11"/>
        <v>19.8</v>
      </c>
      <c r="P31" s="119" t="e">
        <f t="shared" si="8"/>
        <v>#REF!</v>
      </c>
    </row>
    <row r="32" spans="1:18">
      <c r="E32" t="s">
        <v>139</v>
      </c>
      <c r="F32" s="19" t="s">
        <v>236</v>
      </c>
      <c r="G32" s="124">
        <f>SUM(G26:G31)</f>
        <v>26</v>
      </c>
      <c r="H32" s="125">
        <f t="shared" ref="H32:K32" si="12">SUM(H26:H31)</f>
        <v>34</v>
      </c>
      <c r="I32" s="125">
        <f t="shared" si="12"/>
        <v>24</v>
      </c>
      <c r="J32" s="125">
        <f t="shared" si="12"/>
        <v>21</v>
      </c>
      <c r="K32" s="125">
        <f t="shared" si="12"/>
        <v>27</v>
      </c>
      <c r="L32" s="125">
        <f>SUM(L26:L31)</f>
        <v>132</v>
      </c>
      <c r="M32" s="164">
        <f>L32/5</f>
        <v>26.4</v>
      </c>
      <c r="O32" s="119">
        <f t="shared" si="11"/>
        <v>26.4</v>
      </c>
      <c r="P32" s="119" t="e">
        <f t="shared" si="8"/>
        <v>#REF!</v>
      </c>
    </row>
    <row r="33" spans="1:16">
      <c r="G33" s="165"/>
      <c r="H33" s="165"/>
      <c r="I33" s="165"/>
      <c r="J33" s="165"/>
      <c r="K33" s="165"/>
      <c r="L33" s="165"/>
      <c r="M33" s="51"/>
      <c r="O33" s="51"/>
      <c r="P33" s="51"/>
    </row>
    <row r="34" spans="1:16">
      <c r="A34" s="12"/>
      <c r="B34" s="12" t="s">
        <v>293</v>
      </c>
      <c r="D34" s="12"/>
      <c r="G34" s="92"/>
      <c r="H34" s="75"/>
      <c r="I34" s="60"/>
      <c r="J34" s="60"/>
      <c r="K34" s="50"/>
      <c r="O34" s="19"/>
      <c r="P34" s="19"/>
    </row>
    <row r="35" spans="1:16" ht="30">
      <c r="E35" t="s">
        <v>144</v>
      </c>
      <c r="F35" s="19" t="s">
        <v>41</v>
      </c>
      <c r="G35" s="90">
        <v>2017</v>
      </c>
      <c r="H35" s="158">
        <v>2018</v>
      </c>
      <c r="I35" s="90">
        <v>2019</v>
      </c>
      <c r="J35" s="90">
        <v>2020</v>
      </c>
      <c r="K35" s="90">
        <v>2021</v>
      </c>
      <c r="L35" s="19" t="s">
        <v>139</v>
      </c>
      <c r="M35" s="118" t="s">
        <v>266</v>
      </c>
      <c r="O35" s="19">
        <v>2021</v>
      </c>
      <c r="P35" s="19">
        <v>2045</v>
      </c>
    </row>
    <row r="36" spans="1:16">
      <c r="E36" t="s">
        <v>119</v>
      </c>
      <c r="F36" s="19" t="s">
        <v>236</v>
      </c>
      <c r="G36" s="120">
        <v>0</v>
      </c>
      <c r="H36" s="121">
        <v>0</v>
      </c>
      <c r="I36" s="122">
        <v>0</v>
      </c>
      <c r="J36" s="122">
        <v>0</v>
      </c>
      <c r="K36" s="122">
        <v>0</v>
      </c>
      <c r="L36" s="161">
        <f>SUM(G36:K36)</f>
        <v>0</v>
      </c>
      <c r="M36" s="162">
        <f>L36/5</f>
        <v>0</v>
      </c>
      <c r="O36" s="119">
        <f>M36</f>
        <v>0</v>
      </c>
      <c r="P36" s="119" t="e">
        <f>O36*(1+$G$11)^($P$35-$O$35)</f>
        <v>#REF!</v>
      </c>
    </row>
    <row r="37" spans="1:16">
      <c r="E37" t="s">
        <v>145</v>
      </c>
      <c r="F37" s="19" t="s">
        <v>236</v>
      </c>
      <c r="G37" s="123">
        <v>4</v>
      </c>
      <c r="H37" s="159">
        <v>8</v>
      </c>
      <c r="I37" s="74">
        <v>6</v>
      </c>
      <c r="J37" s="74">
        <v>6</v>
      </c>
      <c r="K37" s="74">
        <v>8</v>
      </c>
      <c r="L37" s="117">
        <f t="shared" ref="L37:L41" si="13">SUM(G37:K37)</f>
        <v>32</v>
      </c>
      <c r="M37" s="163">
        <f t="shared" ref="M37:M41" si="14">L37/5</f>
        <v>6.4</v>
      </c>
      <c r="O37" s="119">
        <f t="shared" ref="O37:O42" si="15">M37</f>
        <v>6.4</v>
      </c>
      <c r="P37" s="119" t="e">
        <f t="shared" ref="P37:P42" si="16">O37*(1+$G$11)^($P$35-$O$35)</f>
        <v>#REF!</v>
      </c>
    </row>
    <row r="38" spans="1:16">
      <c r="E38" t="s">
        <v>120</v>
      </c>
      <c r="F38" s="19" t="s">
        <v>236</v>
      </c>
      <c r="G38" s="123">
        <v>3</v>
      </c>
      <c r="H38" s="159">
        <v>5</v>
      </c>
      <c r="I38" s="74">
        <v>3</v>
      </c>
      <c r="J38" s="74">
        <v>2</v>
      </c>
      <c r="K38" s="74">
        <v>2</v>
      </c>
      <c r="L38" s="117">
        <f t="shared" si="13"/>
        <v>15</v>
      </c>
      <c r="M38" s="163">
        <f t="shared" si="14"/>
        <v>3</v>
      </c>
      <c r="O38" s="119">
        <f t="shared" si="15"/>
        <v>3</v>
      </c>
      <c r="P38" s="119" t="e">
        <f t="shared" si="16"/>
        <v>#REF!</v>
      </c>
    </row>
    <row r="39" spans="1:16">
      <c r="E39" t="s">
        <v>267</v>
      </c>
      <c r="F39" s="19" t="s">
        <v>236</v>
      </c>
      <c r="G39" s="123">
        <v>1</v>
      </c>
      <c r="H39" s="159">
        <v>1</v>
      </c>
      <c r="I39" s="74">
        <v>2</v>
      </c>
      <c r="J39" s="74">
        <v>0</v>
      </c>
      <c r="K39" s="74">
        <v>1</v>
      </c>
      <c r="L39" s="117">
        <f t="shared" si="13"/>
        <v>5</v>
      </c>
      <c r="M39" s="163">
        <f t="shared" si="14"/>
        <v>1</v>
      </c>
      <c r="O39" s="119">
        <f t="shared" si="15"/>
        <v>1</v>
      </c>
      <c r="P39" s="119" t="e">
        <f t="shared" si="16"/>
        <v>#REF!</v>
      </c>
    </row>
    <row r="40" spans="1:16">
      <c r="E40" t="s">
        <v>121</v>
      </c>
      <c r="F40" s="19" t="s">
        <v>236</v>
      </c>
      <c r="G40" s="123">
        <v>0</v>
      </c>
      <c r="H40" s="159">
        <v>0</v>
      </c>
      <c r="I40" s="74">
        <v>0</v>
      </c>
      <c r="J40" s="74">
        <v>0</v>
      </c>
      <c r="K40" s="74">
        <v>0</v>
      </c>
      <c r="L40" s="117">
        <f t="shared" si="13"/>
        <v>0</v>
      </c>
      <c r="M40" s="163">
        <f t="shared" si="14"/>
        <v>0</v>
      </c>
      <c r="O40" s="119">
        <f t="shared" si="15"/>
        <v>0</v>
      </c>
      <c r="P40" s="119" t="e">
        <f t="shared" si="16"/>
        <v>#REF!</v>
      </c>
    </row>
    <row r="41" spans="1:16">
      <c r="E41" t="s">
        <v>146</v>
      </c>
      <c r="F41" s="19" t="s">
        <v>236</v>
      </c>
      <c r="G41" s="123">
        <v>32</v>
      </c>
      <c r="H41" s="159">
        <v>19</v>
      </c>
      <c r="I41" s="74">
        <v>27</v>
      </c>
      <c r="J41" s="74">
        <v>27</v>
      </c>
      <c r="K41" s="74">
        <v>45</v>
      </c>
      <c r="L41" s="117">
        <f t="shared" si="13"/>
        <v>150</v>
      </c>
      <c r="M41" s="163">
        <f t="shared" si="14"/>
        <v>30</v>
      </c>
      <c r="O41" s="119">
        <f t="shared" si="15"/>
        <v>30</v>
      </c>
      <c r="P41" s="119" t="e">
        <f t="shared" si="16"/>
        <v>#REF!</v>
      </c>
    </row>
    <row r="42" spans="1:16">
      <c r="E42" t="s">
        <v>139</v>
      </c>
      <c r="F42" s="19" t="s">
        <v>236</v>
      </c>
      <c r="G42" s="124">
        <f>SUM(G36:G41)</f>
        <v>40</v>
      </c>
      <c r="H42" s="125">
        <f t="shared" ref="H42" si="17">SUM(H36:H41)</f>
        <v>33</v>
      </c>
      <c r="I42" s="125">
        <f t="shared" ref="I42" si="18">SUM(I36:I41)</f>
        <v>38</v>
      </c>
      <c r="J42" s="125">
        <f t="shared" ref="J42" si="19">SUM(J36:J41)</f>
        <v>35</v>
      </c>
      <c r="K42" s="125">
        <f t="shared" ref="K42" si="20">SUM(K36:K41)</f>
        <v>56</v>
      </c>
      <c r="L42" s="125">
        <f>SUM(L36:L41)</f>
        <v>202</v>
      </c>
      <c r="M42" s="164">
        <f>L42/5</f>
        <v>40.4</v>
      </c>
      <c r="O42" s="119">
        <f t="shared" si="15"/>
        <v>40.4</v>
      </c>
      <c r="P42" s="119" t="e">
        <f t="shared" si="16"/>
        <v>#REF!</v>
      </c>
    </row>
    <row r="43" spans="1:16">
      <c r="G43" s="92"/>
      <c r="H43" s="75"/>
      <c r="I43" s="60"/>
      <c r="J43" s="60"/>
      <c r="K43" s="50"/>
    </row>
    <row r="44" spans="1:16">
      <c r="A44" s="12"/>
      <c r="B44" s="12" t="s">
        <v>294</v>
      </c>
      <c r="D44" s="12"/>
      <c r="G44" s="92"/>
      <c r="H44" s="75"/>
      <c r="I44" s="60"/>
      <c r="J44" s="60"/>
      <c r="K44" s="50"/>
      <c r="O44" s="19"/>
      <c r="P44" s="19"/>
    </row>
    <row r="45" spans="1:16" ht="30">
      <c r="E45" t="s">
        <v>144</v>
      </c>
      <c r="F45" s="19" t="s">
        <v>41</v>
      </c>
      <c r="G45" s="90">
        <v>2017</v>
      </c>
      <c r="H45" s="158">
        <v>2018</v>
      </c>
      <c r="I45" s="90">
        <v>2019</v>
      </c>
      <c r="J45" s="90">
        <v>2020</v>
      </c>
      <c r="K45" s="90">
        <v>2021</v>
      </c>
      <c r="L45" s="19" t="s">
        <v>139</v>
      </c>
      <c r="M45" s="118" t="s">
        <v>266</v>
      </c>
      <c r="O45" s="19">
        <v>2021</v>
      </c>
      <c r="P45" s="19">
        <v>2045</v>
      </c>
    </row>
    <row r="46" spans="1:16">
      <c r="E46" t="s">
        <v>119</v>
      </c>
      <c r="F46" s="19" t="s">
        <v>236</v>
      </c>
      <c r="G46" s="120">
        <v>0</v>
      </c>
      <c r="H46" s="121">
        <v>0</v>
      </c>
      <c r="I46" s="122">
        <v>0</v>
      </c>
      <c r="J46" s="122">
        <v>0</v>
      </c>
      <c r="K46" s="122">
        <v>0</v>
      </c>
      <c r="L46" s="161">
        <f>SUM(G46:K46)</f>
        <v>0</v>
      </c>
      <c r="M46" s="162">
        <f>L46/5</f>
        <v>0</v>
      </c>
      <c r="O46" s="119">
        <f>M46</f>
        <v>0</v>
      </c>
      <c r="P46" s="119" t="e">
        <f>O46*(1+$G$11)^($P$45-$O$45)</f>
        <v>#REF!</v>
      </c>
    </row>
    <row r="47" spans="1:16">
      <c r="E47" t="s">
        <v>145</v>
      </c>
      <c r="F47" s="19" t="s">
        <v>236</v>
      </c>
      <c r="G47" s="123">
        <v>1</v>
      </c>
      <c r="H47" s="159">
        <v>1</v>
      </c>
      <c r="I47" s="74">
        <v>3</v>
      </c>
      <c r="J47" s="74">
        <v>0</v>
      </c>
      <c r="K47" s="74">
        <v>1</v>
      </c>
      <c r="L47" s="117">
        <f t="shared" ref="L47:L51" si="21">SUM(G47:K47)</f>
        <v>6</v>
      </c>
      <c r="M47" s="163">
        <f t="shared" ref="M47:M51" si="22">L47/5</f>
        <v>1.2</v>
      </c>
      <c r="O47" s="119">
        <f t="shared" ref="O47:O52" si="23">M47</f>
        <v>1.2</v>
      </c>
      <c r="P47" s="119" t="e">
        <f t="shared" ref="P47:P52" si="24">O47*(1+$G$11)^($P$45-$O$45)</f>
        <v>#REF!</v>
      </c>
    </row>
    <row r="48" spans="1:16">
      <c r="E48" t="s">
        <v>120</v>
      </c>
      <c r="F48" s="19" t="s">
        <v>236</v>
      </c>
      <c r="G48" s="123">
        <v>1</v>
      </c>
      <c r="H48" s="159">
        <v>1</v>
      </c>
      <c r="I48" s="74">
        <v>2</v>
      </c>
      <c r="J48" s="74">
        <v>2</v>
      </c>
      <c r="K48" s="74">
        <v>1</v>
      </c>
      <c r="L48" s="117">
        <f t="shared" si="21"/>
        <v>7</v>
      </c>
      <c r="M48" s="163">
        <f t="shared" si="22"/>
        <v>1.4</v>
      </c>
      <c r="O48" s="119">
        <f t="shared" si="23"/>
        <v>1.4</v>
      </c>
      <c r="P48" s="119" t="e">
        <f t="shared" si="24"/>
        <v>#REF!</v>
      </c>
    </row>
    <row r="49" spans="1:24">
      <c r="E49" t="s">
        <v>267</v>
      </c>
      <c r="F49" s="19" t="s">
        <v>236</v>
      </c>
      <c r="G49" s="123">
        <v>0</v>
      </c>
      <c r="H49" s="159">
        <v>0</v>
      </c>
      <c r="I49" s="74">
        <v>1</v>
      </c>
      <c r="J49" s="74">
        <v>0</v>
      </c>
      <c r="K49" s="74">
        <v>0</v>
      </c>
      <c r="L49" s="117">
        <f t="shared" si="21"/>
        <v>1</v>
      </c>
      <c r="M49" s="163">
        <f t="shared" si="22"/>
        <v>0.2</v>
      </c>
      <c r="O49" s="119">
        <f t="shared" si="23"/>
        <v>0.2</v>
      </c>
      <c r="P49" s="119" t="e">
        <f t="shared" si="24"/>
        <v>#REF!</v>
      </c>
    </row>
    <row r="50" spans="1:24">
      <c r="E50" t="s">
        <v>121</v>
      </c>
      <c r="F50" s="19" t="s">
        <v>236</v>
      </c>
      <c r="G50" s="123">
        <v>0</v>
      </c>
      <c r="H50" s="159">
        <v>0</v>
      </c>
      <c r="I50" s="74">
        <v>0</v>
      </c>
      <c r="J50" s="74">
        <v>0</v>
      </c>
      <c r="K50" s="74">
        <v>0</v>
      </c>
      <c r="L50" s="117">
        <f t="shared" si="21"/>
        <v>0</v>
      </c>
      <c r="M50" s="163">
        <f t="shared" si="22"/>
        <v>0</v>
      </c>
      <c r="O50" s="119">
        <f t="shared" si="23"/>
        <v>0</v>
      </c>
      <c r="P50" s="119" t="e">
        <f t="shared" si="24"/>
        <v>#REF!</v>
      </c>
    </row>
    <row r="51" spans="1:24">
      <c r="E51" t="s">
        <v>146</v>
      </c>
      <c r="F51" s="19" t="s">
        <v>236</v>
      </c>
      <c r="G51" s="123">
        <v>12</v>
      </c>
      <c r="H51" s="159">
        <v>14</v>
      </c>
      <c r="I51" s="74">
        <v>14</v>
      </c>
      <c r="J51" s="74">
        <v>12</v>
      </c>
      <c r="K51" s="74">
        <v>8</v>
      </c>
      <c r="L51" s="117">
        <f t="shared" si="21"/>
        <v>60</v>
      </c>
      <c r="M51" s="163">
        <f t="shared" si="22"/>
        <v>12</v>
      </c>
      <c r="O51" s="119">
        <f t="shared" si="23"/>
        <v>12</v>
      </c>
      <c r="P51" s="119" t="e">
        <f t="shared" si="24"/>
        <v>#REF!</v>
      </c>
    </row>
    <row r="52" spans="1:24">
      <c r="E52" t="s">
        <v>139</v>
      </c>
      <c r="F52" s="19" t="s">
        <v>236</v>
      </c>
      <c r="G52" s="124">
        <f>SUM(G46:G51)</f>
        <v>14</v>
      </c>
      <c r="H52" s="125">
        <f t="shared" ref="H52" si="25">SUM(H46:H51)</f>
        <v>16</v>
      </c>
      <c r="I52" s="125">
        <f t="shared" ref="I52" si="26">SUM(I46:I51)</f>
        <v>20</v>
      </c>
      <c r="J52" s="125">
        <f t="shared" ref="J52" si="27">SUM(J46:J51)</f>
        <v>14</v>
      </c>
      <c r="K52" s="125">
        <f t="shared" ref="K52" si="28">SUM(K46:K51)</f>
        <v>10</v>
      </c>
      <c r="L52" s="125">
        <f>SUM(L46:L51)</f>
        <v>74</v>
      </c>
      <c r="M52" s="164">
        <f>L52/5</f>
        <v>14.8</v>
      </c>
      <c r="O52" s="119">
        <f t="shared" si="23"/>
        <v>14.8</v>
      </c>
      <c r="P52" s="119" t="e">
        <f t="shared" si="24"/>
        <v>#REF!</v>
      </c>
    </row>
    <row r="53" spans="1:24" ht="45" hidden="1">
      <c r="E53" s="132" t="s">
        <v>295</v>
      </c>
      <c r="F53" s="133" t="s">
        <v>296</v>
      </c>
      <c r="G53" s="134" t="s">
        <v>270</v>
      </c>
      <c r="H53" s="30" t="s">
        <v>271</v>
      </c>
      <c r="I53" s="135" t="s">
        <v>297</v>
      </c>
      <c r="J53" s="135" t="s">
        <v>298</v>
      </c>
      <c r="K53" s="136" t="s">
        <v>151</v>
      </c>
      <c r="L53" s="49"/>
      <c r="M53" s="49"/>
      <c r="N53" s="49"/>
      <c r="O53" s="49"/>
      <c r="P53" s="49"/>
      <c r="Q53" s="49"/>
      <c r="R53" s="49"/>
      <c r="S53" s="49"/>
      <c r="T53" s="49"/>
      <c r="U53" s="49"/>
      <c r="V53" s="49"/>
      <c r="W53" s="49"/>
      <c r="X53" s="49"/>
    </row>
    <row r="54" spans="1:24" hidden="1">
      <c r="E54" s="26" t="s">
        <v>299</v>
      </c>
      <c r="F54" s="137">
        <v>4125</v>
      </c>
      <c r="G54" s="137">
        <v>0.28999999999999998</v>
      </c>
      <c r="H54" s="137">
        <f>1-G54</f>
        <v>0.71</v>
      </c>
      <c r="I54" s="137" t="s">
        <v>300</v>
      </c>
      <c r="J54" s="137" t="s">
        <v>301</v>
      </c>
      <c r="K54" s="138" t="s">
        <v>302</v>
      </c>
      <c r="L54" s="49"/>
      <c r="M54" s="49"/>
      <c r="N54" s="49"/>
      <c r="O54" s="49"/>
      <c r="P54" s="49"/>
      <c r="Q54" s="49"/>
      <c r="R54" s="49"/>
      <c r="S54" s="49"/>
      <c r="T54" s="49"/>
      <c r="U54" s="49"/>
      <c r="V54" s="49"/>
      <c r="W54" s="49"/>
      <c r="X54" s="49"/>
    </row>
    <row r="55" spans="1:24" hidden="1">
      <c r="E55" s="139" t="s">
        <v>303</v>
      </c>
      <c r="F55" s="137">
        <v>4242</v>
      </c>
      <c r="G55" s="137">
        <v>0.47199999999999998</v>
      </c>
      <c r="H55" s="137">
        <f>1-G55</f>
        <v>0.52800000000000002</v>
      </c>
      <c r="I55" s="137" t="s">
        <v>300</v>
      </c>
      <c r="J55" s="137" t="s">
        <v>301</v>
      </c>
      <c r="K55" s="138" t="s">
        <v>304</v>
      </c>
    </row>
    <row r="56" spans="1:24" hidden="1">
      <c r="E56" s="130"/>
      <c r="F56" s="131"/>
      <c r="G56" s="131"/>
      <c r="H56" s="131"/>
      <c r="I56" s="131"/>
      <c r="J56" s="129"/>
      <c r="K56" s="26"/>
    </row>
    <row r="57" spans="1:24" hidden="1">
      <c r="E57" s="26"/>
      <c r="F57" s="129"/>
      <c r="G57" s="140"/>
      <c r="H57" s="131"/>
      <c r="I57" s="131"/>
      <c r="J57" s="129"/>
      <c r="K57" s="26"/>
    </row>
    <row r="58" spans="1:24" hidden="1">
      <c r="E58" s="126" t="s">
        <v>305</v>
      </c>
      <c r="F58" s="127" t="s">
        <v>270</v>
      </c>
      <c r="G58" s="141" t="s">
        <v>306</v>
      </c>
      <c r="H58" s="142"/>
      <c r="I58" s="142"/>
      <c r="J58" s="129"/>
      <c r="K58" s="26"/>
    </row>
    <row r="59" spans="1:24" hidden="1">
      <c r="A59" s="12"/>
      <c r="E59" s="130" t="s">
        <v>307</v>
      </c>
      <c r="F59" s="143">
        <f>AVERAGE(G54:G55)</f>
        <v>0.38100000000000001</v>
      </c>
      <c r="G59" s="144" t="s">
        <v>308</v>
      </c>
      <c r="H59" s="142"/>
      <c r="I59" s="142"/>
      <c r="J59" s="129"/>
      <c r="K59" s="26"/>
    </row>
    <row r="60" spans="1:24" hidden="1">
      <c r="E60" s="26"/>
      <c r="F60" s="129"/>
      <c r="G60" s="129"/>
      <c r="H60" s="128"/>
      <c r="I60" s="128"/>
      <c r="J60" s="30"/>
      <c r="K60" s="30"/>
    </row>
    <row r="61" spans="1:24" hidden="1">
      <c r="H61" s="60"/>
      <c r="I61" s="60"/>
      <c r="K61" s="19"/>
    </row>
    <row r="62" spans="1:24" hidden="1"/>
    <row r="63" spans="1:24" hidden="1">
      <c r="A63" s="12"/>
    </row>
    <row r="64" spans="1:24" hidden="1">
      <c r="E64" s="12"/>
      <c r="F64" s="21"/>
      <c r="G64" s="21"/>
      <c r="H64" s="21"/>
      <c r="I64" s="21"/>
      <c r="J64" s="21"/>
      <c r="K64" s="21"/>
    </row>
    <row r="65" spans="9:11" hidden="1">
      <c r="I65" s="51"/>
      <c r="J65" s="51"/>
      <c r="K65" s="51"/>
    </row>
    <row r="66" spans="9:11" hidden="1">
      <c r="I66" s="51"/>
      <c r="J66" s="51"/>
      <c r="K66" s="51"/>
    </row>
    <row r="67" spans="9:11" hidden="1">
      <c r="I67" s="51"/>
      <c r="J67" s="51"/>
      <c r="K67" s="51"/>
    </row>
    <row r="68" spans="9:11" hidden="1"/>
    <row r="69" spans="9:11" hidden="1"/>
    <row r="70" spans="9:11" hidden="1"/>
    <row r="71" spans="9:11" hidden="1"/>
    <row r="72" spans="9:11" hidden="1"/>
    <row r="73" spans="9:11" hidden="1"/>
    <row r="74" spans="9:11" hidden="1"/>
    <row r="75" spans="9:11" hidden="1"/>
    <row r="76" spans="9:11" hidden="1"/>
    <row r="77" spans="9:11" hidden="1"/>
    <row r="78" spans="9:11" hidden="1"/>
    <row r="79" spans="9:11" hidden="1"/>
    <row r="80" spans="9:11" hidden="1"/>
    <row r="81" spans="1:16" ht="13.5" customHeight="1"/>
    <row r="82" spans="1:16">
      <c r="A82" s="12"/>
      <c r="B82" s="12" t="s">
        <v>309</v>
      </c>
      <c r="D82" s="12"/>
      <c r="G82" s="92"/>
      <c r="H82" s="75"/>
      <c r="I82" s="60"/>
      <c r="J82" s="60"/>
      <c r="K82" s="50"/>
      <c r="O82" s="19"/>
      <c r="P82" s="19"/>
    </row>
    <row r="83" spans="1:16" ht="30">
      <c r="E83" t="s">
        <v>144</v>
      </c>
      <c r="F83" s="19" t="s">
        <v>41</v>
      </c>
      <c r="G83" s="90">
        <v>2017</v>
      </c>
      <c r="H83" s="158">
        <v>2018</v>
      </c>
      <c r="I83" s="90">
        <v>2019</v>
      </c>
      <c r="J83" s="90">
        <v>2020</v>
      </c>
      <c r="K83" s="90">
        <v>2021</v>
      </c>
      <c r="L83" s="19" t="s">
        <v>139</v>
      </c>
      <c r="M83" s="118" t="s">
        <v>266</v>
      </c>
      <c r="O83" s="19">
        <v>2021</v>
      </c>
      <c r="P83" s="19">
        <v>2045</v>
      </c>
    </row>
    <row r="84" spans="1:16">
      <c r="E84" t="s">
        <v>119</v>
      </c>
      <c r="F84" s="19" t="s">
        <v>236</v>
      </c>
      <c r="G84" s="120">
        <v>0</v>
      </c>
      <c r="H84" s="121">
        <v>0</v>
      </c>
      <c r="I84" s="122">
        <v>0</v>
      </c>
      <c r="J84" s="122">
        <v>0</v>
      </c>
      <c r="K84" s="122">
        <v>0</v>
      </c>
      <c r="L84" s="161">
        <f>SUM(G84:K84)</f>
        <v>0</v>
      </c>
      <c r="M84" s="162">
        <f>L84/5</f>
        <v>0</v>
      </c>
      <c r="O84" s="119">
        <f>M84</f>
        <v>0</v>
      </c>
      <c r="P84" s="119" t="e">
        <f>O84*(1+$G$11)^($P$83-$O$83)</f>
        <v>#REF!</v>
      </c>
    </row>
    <row r="85" spans="1:16">
      <c r="E85" t="s">
        <v>145</v>
      </c>
      <c r="F85" s="19" t="s">
        <v>236</v>
      </c>
      <c r="G85" s="123">
        <v>10</v>
      </c>
      <c r="H85" s="159">
        <v>11</v>
      </c>
      <c r="I85" s="74">
        <v>7</v>
      </c>
      <c r="J85" s="74">
        <v>5</v>
      </c>
      <c r="K85" s="74">
        <v>10</v>
      </c>
      <c r="L85" s="117">
        <f t="shared" ref="L85:L89" si="29">SUM(G85:K85)</f>
        <v>43</v>
      </c>
      <c r="M85" s="163">
        <f t="shared" ref="M85:M89" si="30">L85/5</f>
        <v>8.6</v>
      </c>
      <c r="O85" s="119">
        <f t="shared" ref="O85:O90" si="31">M85</f>
        <v>8.6</v>
      </c>
      <c r="P85" s="119" t="e">
        <f t="shared" ref="P85:P90" si="32">O85*(1+$G$11)^($P$83-$O$83)</f>
        <v>#REF!</v>
      </c>
    </row>
    <row r="86" spans="1:16">
      <c r="E86" t="s">
        <v>120</v>
      </c>
      <c r="F86" s="19" t="s">
        <v>236</v>
      </c>
      <c r="G86" s="123">
        <v>4</v>
      </c>
      <c r="H86" s="159">
        <v>5</v>
      </c>
      <c r="I86" s="74">
        <v>4</v>
      </c>
      <c r="J86" s="74">
        <v>6</v>
      </c>
      <c r="K86" s="74">
        <v>6</v>
      </c>
      <c r="L86" s="117">
        <f t="shared" si="29"/>
        <v>25</v>
      </c>
      <c r="M86" s="163">
        <f t="shared" si="30"/>
        <v>5</v>
      </c>
      <c r="O86" s="119">
        <f t="shared" si="31"/>
        <v>5</v>
      </c>
      <c r="P86" s="119" t="e">
        <f t="shared" si="32"/>
        <v>#REF!</v>
      </c>
    </row>
    <row r="87" spans="1:16">
      <c r="E87" t="s">
        <v>267</v>
      </c>
      <c r="F87" s="19" t="s">
        <v>236</v>
      </c>
      <c r="G87" s="123">
        <v>2</v>
      </c>
      <c r="H87" s="159">
        <v>1</v>
      </c>
      <c r="I87" s="74">
        <v>2</v>
      </c>
      <c r="J87" s="74">
        <v>2</v>
      </c>
      <c r="K87" s="74">
        <v>1</v>
      </c>
      <c r="L87" s="117">
        <f t="shared" si="29"/>
        <v>8</v>
      </c>
      <c r="M87" s="163">
        <f t="shared" si="30"/>
        <v>1.6</v>
      </c>
      <c r="O87" s="119">
        <f t="shared" si="31"/>
        <v>1.6</v>
      </c>
      <c r="P87" s="119" t="e">
        <f t="shared" si="32"/>
        <v>#REF!</v>
      </c>
    </row>
    <row r="88" spans="1:16">
      <c r="E88" t="s">
        <v>121</v>
      </c>
      <c r="F88" s="19" t="s">
        <v>236</v>
      </c>
      <c r="G88" s="123">
        <v>0</v>
      </c>
      <c r="H88" s="159">
        <v>0</v>
      </c>
      <c r="I88" s="74">
        <v>0</v>
      </c>
      <c r="J88" s="74">
        <v>0</v>
      </c>
      <c r="K88" s="74">
        <v>0</v>
      </c>
      <c r="L88" s="117">
        <f t="shared" si="29"/>
        <v>0</v>
      </c>
      <c r="M88" s="163">
        <f t="shared" si="30"/>
        <v>0</v>
      </c>
      <c r="O88" s="119">
        <f t="shared" si="31"/>
        <v>0</v>
      </c>
      <c r="P88" s="119" t="e">
        <f t="shared" si="32"/>
        <v>#REF!</v>
      </c>
    </row>
    <row r="89" spans="1:16">
      <c r="E89" t="s">
        <v>146</v>
      </c>
      <c r="F89" s="19" t="s">
        <v>236</v>
      </c>
      <c r="G89" s="123">
        <v>83</v>
      </c>
      <c r="H89" s="159">
        <v>72</v>
      </c>
      <c r="I89" s="74">
        <v>76</v>
      </c>
      <c r="J89" s="74">
        <v>48</v>
      </c>
      <c r="K89" s="74">
        <v>16</v>
      </c>
      <c r="L89" s="117">
        <f t="shared" si="29"/>
        <v>295</v>
      </c>
      <c r="M89" s="163">
        <f t="shared" si="30"/>
        <v>59</v>
      </c>
      <c r="O89" s="119">
        <f t="shared" si="31"/>
        <v>59</v>
      </c>
      <c r="P89" s="119" t="e">
        <f t="shared" si="32"/>
        <v>#REF!</v>
      </c>
    </row>
    <row r="90" spans="1:16">
      <c r="E90" t="s">
        <v>139</v>
      </c>
      <c r="F90" s="19" t="s">
        <v>236</v>
      </c>
      <c r="G90" s="124">
        <f>SUM(G84:G89)</f>
        <v>99</v>
      </c>
      <c r="H90" s="125">
        <f t="shared" ref="H90" si="33">SUM(H84:H89)</f>
        <v>89</v>
      </c>
      <c r="I90" s="125">
        <f t="shared" ref="I90" si="34">SUM(I84:I89)</f>
        <v>89</v>
      </c>
      <c r="J90" s="125">
        <f t="shared" ref="J90" si="35">SUM(J84:J89)</f>
        <v>61</v>
      </c>
      <c r="K90" s="125">
        <f t="shared" ref="K90" si="36">SUM(K84:K89)</f>
        <v>33</v>
      </c>
      <c r="L90" s="125">
        <f>SUM(L84:L89)</f>
        <v>371</v>
      </c>
      <c r="M90" s="164">
        <f>L90/5</f>
        <v>74.2</v>
      </c>
      <c r="O90" s="119">
        <f t="shared" si="31"/>
        <v>74.2</v>
      </c>
      <c r="P90" s="119" t="e">
        <f t="shared" si="32"/>
        <v>#REF!</v>
      </c>
    </row>
    <row r="91" spans="1:16">
      <c r="G91" s="165"/>
      <c r="H91" s="165"/>
      <c r="I91" s="165"/>
      <c r="J91" s="165"/>
      <c r="K91" s="165"/>
      <c r="L91" s="165"/>
      <c r="M91" s="51"/>
      <c r="O91" s="51"/>
      <c r="P91" s="51"/>
    </row>
    <row r="92" spans="1:16">
      <c r="A92" s="12" t="s">
        <v>310</v>
      </c>
      <c r="G92" s="165"/>
      <c r="H92" s="165"/>
      <c r="I92" s="165"/>
      <c r="J92" s="165"/>
      <c r="K92" s="165"/>
      <c r="L92" s="165"/>
      <c r="M92" s="51"/>
      <c r="O92" s="51"/>
      <c r="P92" s="51"/>
    </row>
    <row r="93" spans="1:16">
      <c r="A93" s="12"/>
      <c r="B93" s="12" t="s">
        <v>309</v>
      </c>
      <c r="D93" s="12"/>
      <c r="G93" s="92"/>
      <c r="H93" s="75"/>
      <c r="I93" s="60"/>
      <c r="J93" s="60"/>
      <c r="K93" s="50"/>
      <c r="O93" s="19"/>
      <c r="P93" s="19"/>
    </row>
    <row r="94" spans="1:16">
      <c r="A94" s="12"/>
      <c r="B94" s="12"/>
      <c r="C94" s="12" t="s">
        <v>311</v>
      </c>
      <c r="D94" s="12"/>
      <c r="G94" s="92"/>
      <c r="H94" s="75"/>
      <c r="I94" s="60"/>
      <c r="J94" s="60"/>
      <c r="K94" s="50"/>
      <c r="O94" s="19"/>
      <c r="P94" s="19"/>
    </row>
    <row r="95" spans="1:16" ht="30">
      <c r="E95" t="s">
        <v>144</v>
      </c>
      <c r="F95" s="19" t="s">
        <v>41</v>
      </c>
      <c r="G95" s="90">
        <v>2017</v>
      </c>
      <c r="H95" s="158">
        <v>2018</v>
      </c>
      <c r="I95" s="90">
        <v>2019</v>
      </c>
      <c r="J95" s="90">
        <v>2020</v>
      </c>
      <c r="K95" s="90">
        <v>2021</v>
      </c>
      <c r="L95" s="19" t="s">
        <v>139</v>
      </c>
      <c r="M95" s="118" t="s">
        <v>266</v>
      </c>
      <c r="O95" s="19">
        <v>2021</v>
      </c>
      <c r="P95" s="19">
        <v>2045</v>
      </c>
    </row>
    <row r="96" spans="1:16">
      <c r="E96" t="s">
        <v>119</v>
      </c>
      <c r="F96" s="19" t="s">
        <v>236</v>
      </c>
      <c r="G96" s="120">
        <v>0</v>
      </c>
      <c r="H96" s="121">
        <v>0</v>
      </c>
      <c r="I96" s="122">
        <v>0</v>
      </c>
      <c r="J96" s="122">
        <v>0</v>
      </c>
      <c r="K96" s="122">
        <v>0</v>
      </c>
      <c r="L96" s="161">
        <f>SUM(G96:K96)</f>
        <v>0</v>
      </c>
      <c r="M96" s="162">
        <f>L96/5</f>
        <v>0</v>
      </c>
      <c r="O96" s="119">
        <f>M96</f>
        <v>0</v>
      </c>
      <c r="P96" s="119" t="e">
        <f>O96*(1+$G$11)^($P$95-$O$95)</f>
        <v>#REF!</v>
      </c>
    </row>
    <row r="97" spans="1:16">
      <c r="E97" t="s">
        <v>145</v>
      </c>
      <c r="F97" s="19" t="s">
        <v>236</v>
      </c>
      <c r="G97" s="123">
        <v>0</v>
      </c>
      <c r="H97" s="159">
        <v>1</v>
      </c>
      <c r="I97" s="74">
        <v>3</v>
      </c>
      <c r="J97" s="74">
        <v>0</v>
      </c>
      <c r="K97" s="74">
        <v>2</v>
      </c>
      <c r="L97" s="117">
        <f t="shared" ref="L97:L101" si="37">SUM(G97:K97)</f>
        <v>6</v>
      </c>
      <c r="M97" s="163">
        <f t="shared" ref="M97:M101" si="38">L97/5</f>
        <v>1.2</v>
      </c>
      <c r="O97" s="119">
        <f t="shared" ref="O97:O102" si="39">M97</f>
        <v>1.2</v>
      </c>
      <c r="P97" s="119" t="e">
        <f t="shared" ref="P97:P102" si="40">O97*(1+$G$11)^($P$95-$O$95)</f>
        <v>#REF!</v>
      </c>
    </row>
    <row r="98" spans="1:16">
      <c r="E98" t="s">
        <v>120</v>
      </c>
      <c r="F98" s="19" t="s">
        <v>236</v>
      </c>
      <c r="G98" s="123">
        <v>0</v>
      </c>
      <c r="H98" s="159">
        <v>0</v>
      </c>
      <c r="I98" s="74">
        <v>0</v>
      </c>
      <c r="J98" s="74">
        <v>0</v>
      </c>
      <c r="K98" s="74">
        <v>1</v>
      </c>
      <c r="L98" s="117">
        <f t="shared" si="37"/>
        <v>1</v>
      </c>
      <c r="M98" s="163">
        <f t="shared" si="38"/>
        <v>0.2</v>
      </c>
      <c r="O98" s="119">
        <f t="shared" si="39"/>
        <v>0.2</v>
      </c>
      <c r="P98" s="119" t="e">
        <f t="shared" si="40"/>
        <v>#REF!</v>
      </c>
    </row>
    <row r="99" spans="1:16">
      <c r="E99" t="s">
        <v>267</v>
      </c>
      <c r="F99" s="19" t="s">
        <v>236</v>
      </c>
      <c r="G99" s="123">
        <v>0</v>
      </c>
      <c r="H99" s="159">
        <v>0</v>
      </c>
      <c r="I99" s="74">
        <v>0</v>
      </c>
      <c r="J99" s="74">
        <v>0</v>
      </c>
      <c r="K99" s="74">
        <v>0</v>
      </c>
      <c r="L99" s="117">
        <f t="shared" si="37"/>
        <v>0</v>
      </c>
      <c r="M99" s="163">
        <f t="shared" si="38"/>
        <v>0</v>
      </c>
      <c r="O99" s="119">
        <f t="shared" si="39"/>
        <v>0</v>
      </c>
      <c r="P99" s="119" t="e">
        <f t="shared" si="40"/>
        <v>#REF!</v>
      </c>
    </row>
    <row r="100" spans="1:16">
      <c r="E100" t="s">
        <v>121</v>
      </c>
      <c r="F100" s="19" t="s">
        <v>236</v>
      </c>
      <c r="G100" s="123">
        <v>0</v>
      </c>
      <c r="H100" s="159">
        <v>0</v>
      </c>
      <c r="I100" s="74">
        <v>0</v>
      </c>
      <c r="J100" s="74">
        <v>0</v>
      </c>
      <c r="K100" s="74">
        <v>0</v>
      </c>
      <c r="L100" s="117">
        <f t="shared" si="37"/>
        <v>0</v>
      </c>
      <c r="M100" s="163">
        <f t="shared" si="38"/>
        <v>0</v>
      </c>
      <c r="O100" s="119">
        <f t="shared" si="39"/>
        <v>0</v>
      </c>
      <c r="P100" s="119" t="e">
        <f t="shared" si="40"/>
        <v>#REF!</v>
      </c>
    </row>
    <row r="101" spans="1:16">
      <c r="E101" t="s">
        <v>146</v>
      </c>
      <c r="F101" s="19" t="s">
        <v>236</v>
      </c>
      <c r="G101" s="123">
        <v>8</v>
      </c>
      <c r="H101" s="159">
        <v>7</v>
      </c>
      <c r="I101" s="74">
        <v>8</v>
      </c>
      <c r="J101" s="74">
        <v>6</v>
      </c>
      <c r="K101" s="74">
        <v>5</v>
      </c>
      <c r="L101" s="117">
        <f t="shared" si="37"/>
        <v>34</v>
      </c>
      <c r="M101" s="163">
        <f t="shared" si="38"/>
        <v>6.8</v>
      </c>
      <c r="O101" s="119">
        <f t="shared" si="39"/>
        <v>6.8</v>
      </c>
      <c r="P101" s="119" t="e">
        <f t="shared" si="40"/>
        <v>#REF!</v>
      </c>
    </row>
    <row r="102" spans="1:16">
      <c r="E102" t="s">
        <v>139</v>
      </c>
      <c r="F102" s="19" t="s">
        <v>236</v>
      </c>
      <c r="G102" s="124">
        <f>SUM(G96:G101)</f>
        <v>8</v>
      </c>
      <c r="H102" s="125">
        <f t="shared" ref="H102" si="41">SUM(H96:H101)</f>
        <v>8</v>
      </c>
      <c r="I102" s="125">
        <f t="shared" ref="I102" si="42">SUM(I96:I101)</f>
        <v>11</v>
      </c>
      <c r="J102" s="125">
        <f t="shared" ref="J102" si="43">SUM(J96:J101)</f>
        <v>6</v>
      </c>
      <c r="K102" s="125">
        <f t="shared" ref="K102" si="44">SUM(K96:K101)</f>
        <v>8</v>
      </c>
      <c r="L102" s="125">
        <f>SUM(L96:L101)</f>
        <v>41</v>
      </c>
      <c r="M102" s="164">
        <f>L102/5</f>
        <v>8.1999999999999993</v>
      </c>
      <c r="O102" s="119">
        <f t="shared" si="39"/>
        <v>8.1999999999999993</v>
      </c>
      <c r="P102" s="119" t="e">
        <f t="shared" si="40"/>
        <v>#REF!</v>
      </c>
    </row>
    <row r="103" spans="1:16">
      <c r="G103" s="165"/>
      <c r="H103" s="165"/>
      <c r="I103" s="165"/>
      <c r="J103" s="165"/>
      <c r="K103" s="165"/>
      <c r="L103" s="165"/>
      <c r="M103" s="51"/>
      <c r="O103" s="51"/>
      <c r="P103" s="51"/>
    </row>
    <row r="104" spans="1:16">
      <c r="A104" s="12"/>
      <c r="B104" s="12"/>
      <c r="C104" s="12" t="s">
        <v>312</v>
      </c>
      <c r="D104" s="12"/>
      <c r="G104" s="92"/>
      <c r="H104" s="75"/>
      <c r="I104" s="60"/>
      <c r="J104" s="60"/>
      <c r="K104" s="50"/>
      <c r="O104" s="19"/>
      <c r="P104" s="19"/>
    </row>
    <row r="105" spans="1:16" ht="30">
      <c r="E105" t="s">
        <v>144</v>
      </c>
      <c r="F105" s="19" t="s">
        <v>41</v>
      </c>
      <c r="G105" s="90">
        <v>2017</v>
      </c>
      <c r="H105" s="158">
        <v>2018</v>
      </c>
      <c r="I105" s="90">
        <v>2019</v>
      </c>
      <c r="J105" s="90">
        <v>2020</v>
      </c>
      <c r="K105" s="90">
        <v>2021</v>
      </c>
      <c r="L105" s="19" t="s">
        <v>139</v>
      </c>
      <c r="M105" s="118" t="s">
        <v>266</v>
      </c>
      <c r="O105" s="19">
        <v>2021</v>
      </c>
      <c r="P105" s="19">
        <v>2045</v>
      </c>
    </row>
    <row r="106" spans="1:16">
      <c r="E106" t="s">
        <v>119</v>
      </c>
      <c r="F106" s="19" t="s">
        <v>236</v>
      </c>
      <c r="G106" s="120">
        <v>0</v>
      </c>
      <c r="H106" s="121">
        <v>0</v>
      </c>
      <c r="I106" s="122">
        <v>0</v>
      </c>
      <c r="J106" s="122">
        <v>0</v>
      </c>
      <c r="K106" s="122">
        <v>0</v>
      </c>
      <c r="L106" s="161">
        <f>SUM(G106:K106)</f>
        <v>0</v>
      </c>
      <c r="M106" s="162">
        <f>L106/5</f>
        <v>0</v>
      </c>
      <c r="O106" s="119">
        <f>M106</f>
        <v>0</v>
      </c>
      <c r="P106" s="119" t="e">
        <f>O106*(1+$G$11)^($P$105-$O$105)</f>
        <v>#REF!</v>
      </c>
    </row>
    <row r="107" spans="1:16">
      <c r="E107" t="s">
        <v>145</v>
      </c>
      <c r="F107" s="19" t="s">
        <v>236</v>
      </c>
      <c r="G107" s="123">
        <v>0</v>
      </c>
      <c r="H107" s="159">
        <v>1</v>
      </c>
      <c r="I107" s="74">
        <v>1</v>
      </c>
      <c r="J107" s="74">
        <v>2</v>
      </c>
      <c r="K107" s="74">
        <v>0</v>
      </c>
      <c r="L107" s="117">
        <f t="shared" ref="L107:L111" si="45">SUM(G107:K107)</f>
        <v>4</v>
      </c>
      <c r="M107" s="163">
        <f t="shared" ref="M107:M111" si="46">L107/5</f>
        <v>0.8</v>
      </c>
      <c r="O107" s="119">
        <f t="shared" ref="O107:O112" si="47">M107</f>
        <v>0.8</v>
      </c>
      <c r="P107" s="119" t="e">
        <f t="shared" ref="P107:P112" si="48">O107*(1+$G$11)^($P$105-$O$105)</f>
        <v>#REF!</v>
      </c>
    </row>
    <row r="108" spans="1:16">
      <c r="E108" t="s">
        <v>120</v>
      </c>
      <c r="F108" s="19" t="s">
        <v>236</v>
      </c>
      <c r="G108" s="123">
        <v>0</v>
      </c>
      <c r="H108" s="159">
        <v>0</v>
      </c>
      <c r="I108" s="74">
        <v>0</v>
      </c>
      <c r="J108" s="74">
        <v>0</v>
      </c>
      <c r="K108" s="74">
        <v>1</v>
      </c>
      <c r="L108" s="117">
        <f t="shared" si="45"/>
        <v>1</v>
      </c>
      <c r="M108" s="163">
        <f t="shared" si="46"/>
        <v>0.2</v>
      </c>
      <c r="O108" s="119">
        <f t="shared" si="47"/>
        <v>0.2</v>
      </c>
      <c r="P108" s="119" t="e">
        <f t="shared" si="48"/>
        <v>#REF!</v>
      </c>
    </row>
    <row r="109" spans="1:16">
      <c r="E109" t="s">
        <v>267</v>
      </c>
      <c r="F109" s="19" t="s">
        <v>236</v>
      </c>
      <c r="G109" s="123">
        <v>0</v>
      </c>
      <c r="H109" s="159">
        <v>0</v>
      </c>
      <c r="I109" s="74">
        <v>0</v>
      </c>
      <c r="J109" s="74">
        <v>0</v>
      </c>
      <c r="K109" s="74">
        <v>0</v>
      </c>
      <c r="L109" s="117">
        <f t="shared" si="45"/>
        <v>0</v>
      </c>
      <c r="M109" s="163">
        <f t="shared" si="46"/>
        <v>0</v>
      </c>
      <c r="O109" s="119">
        <f t="shared" si="47"/>
        <v>0</v>
      </c>
      <c r="P109" s="119" t="e">
        <f t="shared" si="48"/>
        <v>#REF!</v>
      </c>
    </row>
    <row r="110" spans="1:16">
      <c r="E110" t="s">
        <v>121</v>
      </c>
      <c r="F110" s="19" t="s">
        <v>236</v>
      </c>
      <c r="G110" s="123">
        <v>0</v>
      </c>
      <c r="H110" s="159">
        <v>0</v>
      </c>
      <c r="I110" s="74">
        <v>0</v>
      </c>
      <c r="J110" s="74">
        <v>0</v>
      </c>
      <c r="K110" s="74">
        <v>0</v>
      </c>
      <c r="L110" s="117">
        <f t="shared" si="45"/>
        <v>0</v>
      </c>
      <c r="M110" s="163">
        <f t="shared" si="46"/>
        <v>0</v>
      </c>
      <c r="O110" s="119">
        <f t="shared" si="47"/>
        <v>0</v>
      </c>
      <c r="P110" s="119" t="e">
        <f t="shared" si="48"/>
        <v>#REF!</v>
      </c>
    </row>
    <row r="111" spans="1:16">
      <c r="E111" t="s">
        <v>146</v>
      </c>
      <c r="F111" s="19" t="s">
        <v>236</v>
      </c>
      <c r="G111" s="123">
        <v>8</v>
      </c>
      <c r="H111" s="159">
        <v>6</v>
      </c>
      <c r="I111" s="74">
        <v>12</v>
      </c>
      <c r="J111" s="74">
        <v>5</v>
      </c>
      <c r="K111" s="74">
        <v>6</v>
      </c>
      <c r="L111" s="117">
        <f t="shared" si="45"/>
        <v>37</v>
      </c>
      <c r="M111" s="163">
        <f t="shared" si="46"/>
        <v>7.4</v>
      </c>
      <c r="O111" s="119">
        <f t="shared" si="47"/>
        <v>7.4</v>
      </c>
      <c r="P111" s="119" t="e">
        <f t="shared" si="48"/>
        <v>#REF!</v>
      </c>
    </row>
    <row r="112" spans="1:16">
      <c r="E112" t="s">
        <v>139</v>
      </c>
      <c r="F112" s="19" t="s">
        <v>236</v>
      </c>
      <c r="G112" s="124">
        <f>SUM(G106:G111)</f>
        <v>8</v>
      </c>
      <c r="H112" s="125">
        <f t="shared" ref="H112" si="49">SUM(H106:H111)</f>
        <v>7</v>
      </c>
      <c r="I112" s="125">
        <f t="shared" ref="I112" si="50">SUM(I106:I111)</f>
        <v>13</v>
      </c>
      <c r="J112" s="125">
        <f t="shared" ref="J112" si="51">SUM(J106:J111)</f>
        <v>7</v>
      </c>
      <c r="K112" s="125">
        <f t="shared" ref="K112" si="52">SUM(K106:K111)</f>
        <v>7</v>
      </c>
      <c r="L112" s="125">
        <f>SUM(L106:L111)</f>
        <v>42</v>
      </c>
      <c r="M112" s="164">
        <f>L112/5</f>
        <v>8.4</v>
      </c>
      <c r="O112" s="119">
        <f t="shared" si="47"/>
        <v>8.4</v>
      </c>
      <c r="P112" s="119" t="e">
        <f t="shared" si="48"/>
        <v>#REF!</v>
      </c>
    </row>
    <row r="113" spans="1:16">
      <c r="G113" s="165"/>
      <c r="H113" s="165"/>
      <c r="I113" s="165"/>
      <c r="J113" s="165"/>
      <c r="K113" s="165"/>
      <c r="L113" s="165"/>
      <c r="M113" s="51"/>
      <c r="O113" s="51"/>
      <c r="P113" s="51"/>
    </row>
    <row r="114" spans="1:16">
      <c r="A114" s="12" t="s">
        <v>313</v>
      </c>
      <c r="G114" s="165"/>
      <c r="H114" s="165"/>
      <c r="I114" s="165"/>
      <c r="J114" s="165"/>
      <c r="K114" s="165"/>
      <c r="L114" s="165"/>
      <c r="M114" s="51"/>
      <c r="O114" s="51"/>
      <c r="P114" s="51"/>
    </row>
    <row r="115" spans="1:16">
      <c r="A115" s="12"/>
      <c r="B115" s="12" t="s">
        <v>293</v>
      </c>
      <c r="D115" s="12"/>
      <c r="G115" s="92"/>
      <c r="H115" s="75"/>
      <c r="I115" s="60"/>
      <c r="J115" s="60"/>
      <c r="K115" s="50"/>
      <c r="O115" s="19"/>
      <c r="P115" s="19"/>
    </row>
    <row r="116" spans="1:16" ht="30">
      <c r="E116" t="s">
        <v>144</v>
      </c>
      <c r="F116" s="19" t="s">
        <v>41</v>
      </c>
      <c r="G116" s="90">
        <v>2017</v>
      </c>
      <c r="H116" s="158">
        <v>2018</v>
      </c>
      <c r="I116" s="90">
        <v>2019</v>
      </c>
      <c r="J116" s="90">
        <v>2020</v>
      </c>
      <c r="K116" s="90">
        <v>2021</v>
      </c>
      <c r="L116" s="19" t="s">
        <v>139</v>
      </c>
      <c r="M116" s="118" t="s">
        <v>266</v>
      </c>
      <c r="O116" s="19">
        <v>2021</v>
      </c>
      <c r="P116" s="19">
        <v>2045</v>
      </c>
    </row>
    <row r="117" spans="1:16">
      <c r="E117" t="s">
        <v>119</v>
      </c>
      <c r="F117" s="19" t="s">
        <v>236</v>
      </c>
      <c r="G117" s="120">
        <v>0</v>
      </c>
      <c r="H117" s="121">
        <v>0</v>
      </c>
      <c r="I117" s="122">
        <v>0</v>
      </c>
      <c r="J117" s="122">
        <v>0</v>
      </c>
      <c r="K117" s="122">
        <v>0</v>
      </c>
      <c r="L117" s="161">
        <f>SUM(G117:K117)</f>
        <v>0</v>
      </c>
      <c r="M117" s="162">
        <f>L117/5</f>
        <v>0</v>
      </c>
      <c r="O117" s="119">
        <f>M117</f>
        <v>0</v>
      </c>
      <c r="P117" s="119" t="e">
        <f t="shared" ref="P117:P123" si="53">O117*(1+$G$11)^($P$116-$O$116)</f>
        <v>#REF!</v>
      </c>
    </row>
    <row r="118" spans="1:16">
      <c r="E118" t="s">
        <v>145</v>
      </c>
      <c r="F118" s="19" t="s">
        <v>236</v>
      </c>
      <c r="G118" s="123">
        <v>0</v>
      </c>
      <c r="H118" s="159">
        <v>0</v>
      </c>
      <c r="I118" s="74">
        <v>1</v>
      </c>
      <c r="J118" s="74">
        <v>1</v>
      </c>
      <c r="K118" s="74">
        <v>0</v>
      </c>
      <c r="L118" s="117">
        <f t="shared" ref="L118:L122" si="54">SUM(G118:K118)</f>
        <v>2</v>
      </c>
      <c r="M118" s="163">
        <f t="shared" ref="M118:M122" si="55">L118/5</f>
        <v>0.4</v>
      </c>
      <c r="O118" s="119">
        <f t="shared" ref="O118:O123" si="56">M118</f>
        <v>0.4</v>
      </c>
      <c r="P118" s="119" t="e">
        <f t="shared" si="53"/>
        <v>#REF!</v>
      </c>
    </row>
    <row r="119" spans="1:16">
      <c r="E119" t="s">
        <v>120</v>
      </c>
      <c r="F119" s="19" t="s">
        <v>236</v>
      </c>
      <c r="G119" s="123">
        <v>0</v>
      </c>
      <c r="H119" s="159">
        <v>0</v>
      </c>
      <c r="I119" s="74">
        <v>0</v>
      </c>
      <c r="J119" s="74">
        <v>0</v>
      </c>
      <c r="K119" s="74">
        <v>0</v>
      </c>
      <c r="L119" s="117">
        <f t="shared" si="54"/>
        <v>0</v>
      </c>
      <c r="M119" s="163">
        <f t="shared" si="55"/>
        <v>0</v>
      </c>
      <c r="O119" s="119">
        <f t="shared" si="56"/>
        <v>0</v>
      </c>
      <c r="P119" s="119" t="e">
        <f t="shared" si="53"/>
        <v>#REF!</v>
      </c>
    </row>
    <row r="120" spans="1:16">
      <c r="E120" t="s">
        <v>267</v>
      </c>
      <c r="F120" s="19" t="s">
        <v>236</v>
      </c>
      <c r="G120" s="123">
        <v>0</v>
      </c>
      <c r="H120" s="159">
        <v>0</v>
      </c>
      <c r="I120" s="74">
        <v>0</v>
      </c>
      <c r="J120" s="74">
        <v>0</v>
      </c>
      <c r="K120" s="74">
        <v>0</v>
      </c>
      <c r="L120" s="117">
        <f t="shared" si="54"/>
        <v>0</v>
      </c>
      <c r="M120" s="163">
        <f t="shared" si="55"/>
        <v>0</v>
      </c>
      <c r="O120" s="119">
        <f t="shared" si="56"/>
        <v>0</v>
      </c>
      <c r="P120" s="119" t="e">
        <f t="shared" si="53"/>
        <v>#REF!</v>
      </c>
    </row>
    <row r="121" spans="1:16">
      <c r="E121" t="s">
        <v>121</v>
      </c>
      <c r="F121" s="19" t="s">
        <v>236</v>
      </c>
      <c r="G121" s="123">
        <v>0</v>
      </c>
      <c r="H121" s="159">
        <v>0</v>
      </c>
      <c r="I121" s="74">
        <v>0</v>
      </c>
      <c r="J121" s="74">
        <v>0</v>
      </c>
      <c r="K121" s="74">
        <v>0</v>
      </c>
      <c r="L121" s="117">
        <f t="shared" si="54"/>
        <v>0</v>
      </c>
      <c r="M121" s="163">
        <f t="shared" si="55"/>
        <v>0</v>
      </c>
      <c r="O121" s="119">
        <f t="shared" si="56"/>
        <v>0</v>
      </c>
      <c r="P121" s="119" t="e">
        <f t="shared" si="53"/>
        <v>#REF!</v>
      </c>
    </row>
    <row r="122" spans="1:16">
      <c r="E122" t="s">
        <v>146</v>
      </c>
      <c r="F122" s="19" t="s">
        <v>236</v>
      </c>
      <c r="G122" s="123">
        <v>2</v>
      </c>
      <c r="H122" s="159">
        <v>1</v>
      </c>
      <c r="I122" s="74">
        <v>3</v>
      </c>
      <c r="J122" s="74">
        <v>3</v>
      </c>
      <c r="K122" s="74">
        <v>3</v>
      </c>
      <c r="L122" s="117">
        <f t="shared" si="54"/>
        <v>12</v>
      </c>
      <c r="M122" s="163">
        <f t="shared" si="55"/>
        <v>2.4</v>
      </c>
      <c r="O122" s="119">
        <f t="shared" si="56"/>
        <v>2.4</v>
      </c>
      <c r="P122" s="119" t="e">
        <f t="shared" si="53"/>
        <v>#REF!</v>
      </c>
    </row>
    <row r="123" spans="1:16">
      <c r="E123" t="s">
        <v>139</v>
      </c>
      <c r="F123" s="19" t="s">
        <v>236</v>
      </c>
      <c r="G123" s="124">
        <f>SUM(G117:G122)</f>
        <v>2</v>
      </c>
      <c r="H123" s="125">
        <f t="shared" ref="H123" si="57">SUM(H117:H122)</f>
        <v>1</v>
      </c>
      <c r="I123" s="125">
        <f t="shared" ref="I123" si="58">SUM(I117:I122)</f>
        <v>4</v>
      </c>
      <c r="J123" s="125">
        <f t="shared" ref="J123" si="59">SUM(J117:J122)</f>
        <v>4</v>
      </c>
      <c r="K123" s="125">
        <f t="shared" ref="K123" si="60">SUM(K117:K122)</f>
        <v>3</v>
      </c>
      <c r="L123" s="125">
        <f>SUM(L117:L122)</f>
        <v>14</v>
      </c>
      <c r="M123" s="164">
        <f>L123/5</f>
        <v>2.8</v>
      </c>
      <c r="O123" s="119">
        <f t="shared" si="56"/>
        <v>2.8</v>
      </c>
      <c r="P123" s="119" t="e">
        <f t="shared" si="53"/>
        <v>#REF!</v>
      </c>
    </row>
    <row r="124" spans="1:16">
      <c r="G124" s="165"/>
      <c r="H124" s="165"/>
      <c r="I124" s="165"/>
      <c r="J124" s="165"/>
      <c r="K124" s="165"/>
      <c r="L124" s="165"/>
      <c r="M124" s="51"/>
      <c r="O124" s="51"/>
      <c r="P124" s="51"/>
    </row>
    <row r="125" spans="1:16">
      <c r="A125" s="12" t="s">
        <v>314</v>
      </c>
      <c r="G125" s="165"/>
      <c r="H125" s="165"/>
      <c r="I125" s="165"/>
      <c r="J125" s="165"/>
      <c r="K125" s="165"/>
      <c r="L125" s="165"/>
      <c r="M125" s="51"/>
      <c r="O125" s="51"/>
      <c r="P125" s="51"/>
    </row>
    <row r="126" spans="1:16">
      <c r="A126" s="12"/>
      <c r="B126" s="12" t="s">
        <v>293</v>
      </c>
      <c r="D126" s="12"/>
      <c r="G126" s="92"/>
      <c r="H126" s="75"/>
      <c r="I126" s="60"/>
      <c r="J126" s="60"/>
      <c r="K126" s="50"/>
      <c r="O126" s="19"/>
      <c r="P126" s="19"/>
    </row>
    <row r="127" spans="1:16">
      <c r="A127" s="12"/>
      <c r="B127" s="12"/>
      <c r="C127" s="12" t="s">
        <v>315</v>
      </c>
      <c r="D127" s="12"/>
      <c r="G127" s="92"/>
      <c r="H127" s="75"/>
      <c r="I127" s="60"/>
      <c r="J127" s="60"/>
      <c r="K127" s="50"/>
      <c r="O127" s="19"/>
      <c r="P127" s="19"/>
    </row>
    <row r="128" spans="1:16" ht="30">
      <c r="E128" t="s">
        <v>144</v>
      </c>
      <c r="F128" s="19" t="s">
        <v>41</v>
      </c>
      <c r="G128" s="90">
        <v>2017</v>
      </c>
      <c r="H128" s="158">
        <v>2018</v>
      </c>
      <c r="I128" s="90">
        <v>2019</v>
      </c>
      <c r="J128" s="90">
        <v>2020</v>
      </c>
      <c r="K128" s="90">
        <v>2021</v>
      </c>
      <c r="L128" s="19" t="s">
        <v>139</v>
      </c>
      <c r="M128" s="118" t="s">
        <v>266</v>
      </c>
      <c r="O128" s="19">
        <v>2021</v>
      </c>
      <c r="P128" s="19">
        <v>2045</v>
      </c>
    </row>
    <row r="129" spans="3:16">
      <c r="E129" t="s">
        <v>119</v>
      </c>
      <c r="F129" s="19" t="s">
        <v>236</v>
      </c>
      <c r="G129" s="186" t="e">
        <f>G139*(1+#REF!)</f>
        <v>#REF!</v>
      </c>
      <c r="H129" s="161" t="e">
        <f>H139*(1+#REF!)</f>
        <v>#REF!</v>
      </c>
      <c r="I129" s="161" t="e">
        <f>I139*(1+#REF!)</f>
        <v>#REF!</v>
      </c>
      <c r="J129" s="161" t="e">
        <f>J139*(1+#REF!)</f>
        <v>#REF!</v>
      </c>
      <c r="K129" s="161" t="e">
        <f>K139*(1+#REF!)</f>
        <v>#REF!</v>
      </c>
      <c r="L129" s="161" t="e">
        <f>SUM(G129:K129)</f>
        <v>#REF!</v>
      </c>
      <c r="M129" s="162" t="e">
        <f>L129/5</f>
        <v>#REF!</v>
      </c>
      <c r="O129" s="119" t="e">
        <f>M129</f>
        <v>#REF!</v>
      </c>
      <c r="P129" s="119" t="e">
        <f>O129*(1+$G$11)^($P$116-$O$116)</f>
        <v>#REF!</v>
      </c>
    </row>
    <row r="130" spans="3:16">
      <c r="E130" t="s">
        <v>145</v>
      </c>
      <c r="F130" s="19" t="s">
        <v>236</v>
      </c>
      <c r="G130" s="187" t="e">
        <f>G140*(1+#REF!)</f>
        <v>#REF!</v>
      </c>
      <c r="H130" s="117" t="e">
        <f>H140*(1+#REF!)</f>
        <v>#REF!</v>
      </c>
      <c r="I130" s="117" t="e">
        <f>I140*(1+#REF!)</f>
        <v>#REF!</v>
      </c>
      <c r="J130" s="117" t="e">
        <f>J140*(1+#REF!)</f>
        <v>#REF!</v>
      </c>
      <c r="K130" s="117" t="e">
        <f>K140*(1+#REF!)</f>
        <v>#REF!</v>
      </c>
      <c r="L130" s="117" t="e">
        <f t="shared" ref="L130:L134" si="61">SUM(G130:K130)</f>
        <v>#REF!</v>
      </c>
      <c r="M130" s="163" t="e">
        <f t="shared" ref="M130:M134" si="62">L130/5</f>
        <v>#REF!</v>
      </c>
      <c r="O130" s="119" t="e">
        <f t="shared" ref="O130:O135" si="63">M130</f>
        <v>#REF!</v>
      </c>
      <c r="P130" s="119" t="e">
        <f t="shared" ref="P130:P135" si="64">O130*(1+$G$11)^($P$116-$O$116)</f>
        <v>#REF!</v>
      </c>
    </row>
    <row r="131" spans="3:16">
      <c r="E131" t="s">
        <v>120</v>
      </c>
      <c r="F131" s="19" t="s">
        <v>236</v>
      </c>
      <c r="G131" s="187" t="e">
        <f>G141*(1+#REF!)</f>
        <v>#REF!</v>
      </c>
      <c r="H131" s="117" t="e">
        <f>H141*(1+#REF!)</f>
        <v>#REF!</v>
      </c>
      <c r="I131" s="117" t="e">
        <f>I141*(1+#REF!)</f>
        <v>#REF!</v>
      </c>
      <c r="J131" s="117" t="e">
        <f>J141*(1+#REF!)</f>
        <v>#REF!</v>
      </c>
      <c r="K131" s="117" t="e">
        <f>K141*(1+#REF!)</f>
        <v>#REF!</v>
      </c>
      <c r="L131" s="117" t="e">
        <f t="shared" si="61"/>
        <v>#REF!</v>
      </c>
      <c r="M131" s="163" t="e">
        <f t="shared" si="62"/>
        <v>#REF!</v>
      </c>
      <c r="O131" s="119" t="e">
        <f t="shared" si="63"/>
        <v>#REF!</v>
      </c>
      <c r="P131" s="119" t="e">
        <f t="shared" si="64"/>
        <v>#REF!</v>
      </c>
    </row>
    <row r="132" spans="3:16">
      <c r="E132" t="s">
        <v>267</v>
      </c>
      <c r="F132" s="19" t="s">
        <v>236</v>
      </c>
      <c r="G132" s="187" t="e">
        <f>G142*(1+#REF!)</f>
        <v>#REF!</v>
      </c>
      <c r="H132" s="117" t="e">
        <f>H142*(1+#REF!)</f>
        <v>#REF!</v>
      </c>
      <c r="I132" s="117" t="e">
        <f>I142*(1+#REF!)</f>
        <v>#REF!</v>
      </c>
      <c r="J132" s="117" t="e">
        <f>J142*(1+#REF!)</f>
        <v>#REF!</v>
      </c>
      <c r="K132" s="117" t="e">
        <f>K142*(1+#REF!)</f>
        <v>#REF!</v>
      </c>
      <c r="L132" s="117" t="e">
        <f t="shared" si="61"/>
        <v>#REF!</v>
      </c>
      <c r="M132" s="163" t="e">
        <f t="shared" si="62"/>
        <v>#REF!</v>
      </c>
      <c r="O132" s="119" t="e">
        <f t="shared" si="63"/>
        <v>#REF!</v>
      </c>
      <c r="P132" s="119" t="e">
        <f t="shared" si="64"/>
        <v>#REF!</v>
      </c>
    </row>
    <row r="133" spans="3:16">
      <c r="E133" t="s">
        <v>121</v>
      </c>
      <c r="F133" s="19" t="s">
        <v>236</v>
      </c>
      <c r="G133" s="187" t="e">
        <f>G143*(1+#REF!)</f>
        <v>#REF!</v>
      </c>
      <c r="H133" s="117" t="e">
        <f>H143*(1+#REF!)</f>
        <v>#REF!</v>
      </c>
      <c r="I133" s="117" t="e">
        <f>I143*(1+#REF!)</f>
        <v>#REF!</v>
      </c>
      <c r="J133" s="117" t="e">
        <f>J143*(1+#REF!)</f>
        <v>#REF!</v>
      </c>
      <c r="K133" s="117" t="e">
        <f>K143*(1+#REF!)</f>
        <v>#REF!</v>
      </c>
      <c r="L133" s="117" t="e">
        <f t="shared" si="61"/>
        <v>#REF!</v>
      </c>
      <c r="M133" s="163" t="e">
        <f t="shared" si="62"/>
        <v>#REF!</v>
      </c>
      <c r="O133" s="119" t="e">
        <f t="shared" si="63"/>
        <v>#REF!</v>
      </c>
      <c r="P133" s="119" t="e">
        <f t="shared" si="64"/>
        <v>#REF!</v>
      </c>
    </row>
    <row r="134" spans="3:16">
      <c r="E134" t="s">
        <v>146</v>
      </c>
      <c r="F134" s="19" t="s">
        <v>236</v>
      </c>
      <c r="G134" s="187" t="e">
        <f>G144*(1+#REF!)</f>
        <v>#REF!</v>
      </c>
      <c r="H134" s="117" t="e">
        <f>H144*(1+#REF!)</f>
        <v>#REF!</v>
      </c>
      <c r="I134" s="117" t="e">
        <f>I144*(1+#REF!)</f>
        <v>#REF!</v>
      </c>
      <c r="J134" s="117" t="e">
        <f>J144*(1+#REF!)</f>
        <v>#REF!</v>
      </c>
      <c r="K134" s="117" t="e">
        <f>K144*(1+#REF!)</f>
        <v>#REF!</v>
      </c>
      <c r="L134" s="117" t="e">
        <f t="shared" si="61"/>
        <v>#REF!</v>
      </c>
      <c r="M134" s="163" t="e">
        <f t="shared" si="62"/>
        <v>#REF!</v>
      </c>
      <c r="O134" s="119" t="e">
        <f t="shared" si="63"/>
        <v>#REF!</v>
      </c>
      <c r="P134" s="119" t="e">
        <f t="shared" si="64"/>
        <v>#REF!</v>
      </c>
    </row>
    <row r="135" spans="3:16">
      <c r="E135" t="s">
        <v>139</v>
      </c>
      <c r="F135" s="19" t="s">
        <v>236</v>
      </c>
      <c r="G135" s="124" t="e">
        <f>SUM(G129:G134)</f>
        <v>#REF!</v>
      </c>
      <c r="H135" s="125" t="e">
        <f t="shared" ref="H135" si="65">SUM(H129:H134)</f>
        <v>#REF!</v>
      </c>
      <c r="I135" s="125" t="e">
        <f t="shared" ref="I135" si="66">SUM(I129:I134)</f>
        <v>#REF!</v>
      </c>
      <c r="J135" s="125" t="e">
        <f t="shared" ref="J135" si="67">SUM(J129:J134)</f>
        <v>#REF!</v>
      </c>
      <c r="K135" s="125" t="e">
        <f t="shared" ref="K135" si="68">SUM(K129:K134)</f>
        <v>#REF!</v>
      </c>
      <c r="L135" s="125" t="e">
        <f>SUM(L129:L134)</f>
        <v>#REF!</v>
      </c>
      <c r="M135" s="164" t="e">
        <f>L135/5</f>
        <v>#REF!</v>
      </c>
      <c r="O135" s="119" t="e">
        <f t="shared" si="63"/>
        <v>#REF!</v>
      </c>
      <c r="P135" s="119" t="e">
        <f t="shared" si="64"/>
        <v>#REF!</v>
      </c>
    </row>
    <row r="136" spans="3:16">
      <c r="G136" s="165"/>
      <c r="H136" s="165"/>
      <c r="I136" s="165"/>
      <c r="J136" s="165"/>
      <c r="K136" s="165"/>
      <c r="L136" s="165"/>
      <c r="M136" s="51"/>
      <c r="O136" s="51"/>
      <c r="P136" s="51"/>
    </row>
    <row r="137" spans="3:16">
      <c r="C137" s="12" t="s">
        <v>316</v>
      </c>
      <c r="G137" s="165"/>
      <c r="H137" s="165"/>
      <c r="I137" s="165"/>
      <c r="J137" s="165"/>
      <c r="K137" s="165"/>
      <c r="L137" s="165"/>
      <c r="M137" s="51"/>
      <c r="O137" s="51"/>
      <c r="P137" s="51"/>
    </row>
    <row r="138" spans="3:16" ht="30">
      <c r="E138" t="s">
        <v>144</v>
      </c>
      <c r="F138" s="19" t="s">
        <v>41</v>
      </c>
      <c r="G138" s="90">
        <v>2017</v>
      </c>
      <c r="H138" s="158">
        <v>2018</v>
      </c>
      <c r="I138" s="90">
        <v>2019</v>
      </c>
      <c r="J138" s="90">
        <v>2020</v>
      </c>
      <c r="K138" s="90">
        <v>2021</v>
      </c>
      <c r="L138" s="19" t="s">
        <v>139</v>
      </c>
      <c r="M138" s="118" t="s">
        <v>266</v>
      </c>
      <c r="O138" s="19">
        <v>2021</v>
      </c>
      <c r="P138" s="19">
        <v>2045</v>
      </c>
    </row>
    <row r="139" spans="3:16">
      <c r="E139" t="s">
        <v>119</v>
      </c>
      <c r="F139" s="19" t="s">
        <v>236</v>
      </c>
      <c r="G139" s="120">
        <v>0</v>
      </c>
      <c r="H139" s="121">
        <v>0</v>
      </c>
      <c r="I139" s="122">
        <v>0</v>
      </c>
      <c r="J139" s="122">
        <v>0</v>
      </c>
      <c r="K139" s="122">
        <v>0</v>
      </c>
      <c r="L139" s="161">
        <f>SUM(G139:K139)</f>
        <v>0</v>
      </c>
      <c r="M139" s="162">
        <f>L139/5</f>
        <v>0</v>
      </c>
      <c r="O139" s="119">
        <f>M139</f>
        <v>0</v>
      </c>
      <c r="P139" s="119" t="e">
        <f>O139*(1+$G$11)^($P$116-$O$116)</f>
        <v>#REF!</v>
      </c>
    </row>
    <row r="140" spans="3:16">
      <c r="E140" t="s">
        <v>145</v>
      </c>
      <c r="F140" s="19" t="s">
        <v>236</v>
      </c>
      <c r="G140" s="123">
        <v>1</v>
      </c>
      <c r="H140" s="159">
        <v>2</v>
      </c>
      <c r="I140" s="74">
        <v>1</v>
      </c>
      <c r="J140" s="74">
        <v>3</v>
      </c>
      <c r="K140" s="74">
        <v>1</v>
      </c>
      <c r="L140" s="117">
        <f t="shared" ref="L140:L144" si="69">SUM(G140:K140)</f>
        <v>8</v>
      </c>
      <c r="M140" s="163">
        <f t="shared" ref="M140:M144" si="70">L140/5</f>
        <v>1.6</v>
      </c>
      <c r="O140" s="119">
        <f t="shared" ref="O140:O145" si="71">M140</f>
        <v>1.6</v>
      </c>
      <c r="P140" s="119" t="e">
        <f t="shared" ref="P140:P145" si="72">O140*(1+$G$11)^($P$116-$O$116)</f>
        <v>#REF!</v>
      </c>
    </row>
    <row r="141" spans="3:16">
      <c r="E141" t="s">
        <v>120</v>
      </c>
      <c r="F141" s="19" t="s">
        <v>236</v>
      </c>
      <c r="G141" s="123">
        <v>1</v>
      </c>
      <c r="H141" s="159">
        <v>1</v>
      </c>
      <c r="I141" s="74">
        <v>2</v>
      </c>
      <c r="J141" s="74">
        <v>1</v>
      </c>
      <c r="K141" s="74">
        <v>1</v>
      </c>
      <c r="L141" s="117">
        <f t="shared" si="69"/>
        <v>6</v>
      </c>
      <c r="M141" s="163">
        <f t="shared" si="70"/>
        <v>1.2</v>
      </c>
      <c r="O141" s="119">
        <f t="shared" si="71"/>
        <v>1.2</v>
      </c>
      <c r="P141" s="119" t="e">
        <f t="shared" si="72"/>
        <v>#REF!</v>
      </c>
    </row>
    <row r="142" spans="3:16">
      <c r="E142" t="s">
        <v>267</v>
      </c>
      <c r="F142" s="19" t="s">
        <v>236</v>
      </c>
      <c r="G142" s="123">
        <v>0</v>
      </c>
      <c r="H142" s="159">
        <v>1</v>
      </c>
      <c r="I142" s="74">
        <v>0</v>
      </c>
      <c r="J142" s="74">
        <v>0</v>
      </c>
      <c r="K142" s="74">
        <v>1</v>
      </c>
      <c r="L142" s="117">
        <f t="shared" si="69"/>
        <v>2</v>
      </c>
      <c r="M142" s="163">
        <f t="shared" si="70"/>
        <v>0.4</v>
      </c>
      <c r="O142" s="119">
        <f t="shared" si="71"/>
        <v>0.4</v>
      </c>
      <c r="P142" s="119" t="e">
        <f t="shared" si="72"/>
        <v>#REF!</v>
      </c>
    </row>
    <row r="143" spans="3:16">
      <c r="E143" t="s">
        <v>121</v>
      </c>
      <c r="F143" s="19" t="s">
        <v>236</v>
      </c>
      <c r="G143" s="123">
        <v>0</v>
      </c>
      <c r="H143" s="159">
        <v>0</v>
      </c>
      <c r="I143" s="74">
        <v>0</v>
      </c>
      <c r="J143" s="74">
        <v>0</v>
      </c>
      <c r="K143" s="74">
        <v>0</v>
      </c>
      <c r="L143" s="117">
        <f t="shared" si="69"/>
        <v>0</v>
      </c>
      <c r="M143" s="163">
        <f t="shared" si="70"/>
        <v>0</v>
      </c>
      <c r="O143" s="119">
        <f t="shared" si="71"/>
        <v>0</v>
      </c>
      <c r="P143" s="119" t="e">
        <f t="shared" si="72"/>
        <v>#REF!</v>
      </c>
    </row>
    <row r="144" spans="3:16">
      <c r="E144" t="s">
        <v>146</v>
      </c>
      <c r="F144" s="19" t="s">
        <v>236</v>
      </c>
      <c r="G144" s="123">
        <v>13</v>
      </c>
      <c r="H144" s="159">
        <v>6</v>
      </c>
      <c r="I144" s="74">
        <v>11</v>
      </c>
      <c r="J144" s="74">
        <v>10</v>
      </c>
      <c r="K144" s="74">
        <v>16</v>
      </c>
      <c r="L144" s="117">
        <f t="shared" si="69"/>
        <v>56</v>
      </c>
      <c r="M144" s="163">
        <f t="shared" si="70"/>
        <v>11.2</v>
      </c>
      <c r="O144" s="119">
        <f t="shared" si="71"/>
        <v>11.2</v>
      </c>
      <c r="P144" s="119" t="e">
        <f t="shared" si="72"/>
        <v>#REF!</v>
      </c>
    </row>
    <row r="145" spans="1:16">
      <c r="E145" t="s">
        <v>139</v>
      </c>
      <c r="F145" s="19" t="s">
        <v>236</v>
      </c>
      <c r="G145" s="124">
        <f>SUM(G139:G144)</f>
        <v>15</v>
      </c>
      <c r="H145" s="125">
        <f t="shared" ref="H145:K145" si="73">SUM(H139:H144)</f>
        <v>10</v>
      </c>
      <c r="I145" s="125">
        <f t="shared" si="73"/>
        <v>14</v>
      </c>
      <c r="J145" s="125">
        <f t="shared" si="73"/>
        <v>14</v>
      </c>
      <c r="K145" s="125">
        <f t="shared" si="73"/>
        <v>19</v>
      </c>
      <c r="L145" s="125">
        <f>SUM(L139:L144)</f>
        <v>72</v>
      </c>
      <c r="M145" s="164">
        <f>L145/5</f>
        <v>14.4</v>
      </c>
      <c r="O145" s="119">
        <f t="shared" si="71"/>
        <v>14.4</v>
      </c>
      <c r="P145" s="119" t="e">
        <f t="shared" si="72"/>
        <v>#REF!</v>
      </c>
    </row>
    <row r="146" spans="1:16">
      <c r="G146" s="165"/>
      <c r="H146" s="165"/>
      <c r="I146" s="165"/>
      <c r="J146" s="165"/>
      <c r="K146" s="165"/>
      <c r="L146" s="165"/>
      <c r="M146" s="51"/>
      <c r="O146" s="51"/>
      <c r="P146" s="51"/>
    </row>
    <row r="147" spans="1:16">
      <c r="A147" s="12" t="s">
        <v>317</v>
      </c>
      <c r="G147" s="165"/>
      <c r="H147" s="165"/>
      <c r="I147" s="165"/>
      <c r="J147" s="165"/>
      <c r="K147" s="165"/>
      <c r="L147" s="165"/>
      <c r="M147" s="51"/>
      <c r="O147" s="51"/>
      <c r="P147" s="51"/>
    </row>
    <row r="148" spans="1:16">
      <c r="A148" s="12"/>
      <c r="B148" s="12" t="s">
        <v>265</v>
      </c>
      <c r="D148" s="12"/>
      <c r="G148" s="92"/>
      <c r="H148" s="75"/>
      <c r="I148" s="60"/>
      <c r="J148" s="60"/>
      <c r="K148" s="50"/>
      <c r="O148" s="19"/>
      <c r="P148" s="19"/>
    </row>
    <row r="149" spans="1:16">
      <c r="A149" s="12"/>
      <c r="B149" s="12"/>
      <c r="C149" s="12" t="s">
        <v>318</v>
      </c>
      <c r="D149" s="12"/>
      <c r="G149" s="92"/>
      <c r="H149" s="75"/>
      <c r="I149" s="60"/>
      <c r="J149" s="60"/>
      <c r="K149" s="50"/>
      <c r="O149" s="19"/>
      <c r="P149" s="19"/>
    </row>
    <row r="150" spans="1:16">
      <c r="G150" s="165"/>
      <c r="H150" s="165"/>
      <c r="I150" s="165"/>
      <c r="J150" s="165"/>
      <c r="K150" s="165"/>
      <c r="L150" s="165"/>
      <c r="M150" s="51"/>
      <c r="O150" s="51"/>
      <c r="P150" s="51"/>
    </row>
    <row r="151" spans="1:16">
      <c r="A151" s="12"/>
      <c r="B151" s="12" t="s">
        <v>292</v>
      </c>
      <c r="D151" s="12"/>
      <c r="G151" s="92"/>
      <c r="H151" s="75"/>
      <c r="I151" s="60"/>
      <c r="J151" s="60"/>
      <c r="K151" s="50"/>
      <c r="O151" s="19"/>
      <c r="P151" s="19"/>
    </row>
    <row r="152" spans="1:16">
      <c r="A152" s="12"/>
      <c r="B152" s="12"/>
      <c r="C152" s="12" t="s">
        <v>319</v>
      </c>
      <c r="D152" s="12"/>
      <c r="G152" s="92"/>
      <c r="H152" s="75"/>
      <c r="I152" s="60"/>
      <c r="J152" s="60"/>
      <c r="K152" s="50"/>
      <c r="O152" s="19"/>
      <c r="P152" s="19"/>
    </row>
    <row r="153" spans="1:16" ht="30">
      <c r="E153" t="s">
        <v>144</v>
      </c>
      <c r="F153" s="19" t="s">
        <v>41</v>
      </c>
      <c r="G153" s="90">
        <v>2017</v>
      </c>
      <c r="H153" s="158">
        <v>2018</v>
      </c>
      <c r="I153" s="90">
        <v>2019</v>
      </c>
      <c r="J153" s="90">
        <v>2020</v>
      </c>
      <c r="K153" s="90">
        <v>2021</v>
      </c>
      <c r="L153" s="19" t="s">
        <v>139</v>
      </c>
      <c r="M153" s="118" t="s">
        <v>266</v>
      </c>
      <c r="O153" s="19">
        <v>2021</v>
      </c>
      <c r="P153" s="19">
        <v>2045</v>
      </c>
    </row>
    <row r="154" spans="1:16">
      <c r="E154" t="s">
        <v>119</v>
      </c>
      <c r="F154" s="19" t="s">
        <v>236</v>
      </c>
      <c r="G154" s="167">
        <f>G26</f>
        <v>0</v>
      </c>
      <c r="H154" s="167">
        <f t="shared" ref="H154:K154" si="74">H26</f>
        <v>0</v>
      </c>
      <c r="I154" s="167">
        <f t="shared" si="74"/>
        <v>0</v>
      </c>
      <c r="J154" s="167">
        <f t="shared" si="74"/>
        <v>0</v>
      </c>
      <c r="K154" s="167">
        <f t="shared" si="74"/>
        <v>0</v>
      </c>
      <c r="L154" s="167">
        <f>SUM(G154:K154)</f>
        <v>0</v>
      </c>
      <c r="M154" s="168">
        <f>L154/5</f>
        <v>0</v>
      </c>
      <c r="O154" s="119">
        <f>M154</f>
        <v>0</v>
      </c>
      <c r="P154" s="119" t="e">
        <f t="shared" ref="P154:P160" si="75">O154*(1+$G$11)^($P$164-$O$164)</f>
        <v>#REF!</v>
      </c>
    </row>
    <row r="155" spans="1:16">
      <c r="E155" t="s">
        <v>145</v>
      </c>
      <c r="F155" s="19" t="s">
        <v>236</v>
      </c>
      <c r="G155" s="167">
        <f t="shared" ref="G155:K155" si="76">G27</f>
        <v>5</v>
      </c>
      <c r="H155" s="167">
        <f t="shared" si="76"/>
        <v>8</v>
      </c>
      <c r="I155" s="167">
        <f t="shared" si="76"/>
        <v>4</v>
      </c>
      <c r="J155" s="167">
        <f t="shared" si="76"/>
        <v>0</v>
      </c>
      <c r="K155" s="167">
        <f t="shared" si="76"/>
        <v>4</v>
      </c>
      <c r="L155" s="167">
        <f t="shared" ref="L155:L159" si="77">SUM(G155:K155)</f>
        <v>21</v>
      </c>
      <c r="M155" s="168">
        <f t="shared" ref="M155:M158" si="78">L155/5</f>
        <v>4.2</v>
      </c>
      <c r="O155" s="119">
        <f>M155</f>
        <v>4.2</v>
      </c>
      <c r="P155" s="119" t="e">
        <f t="shared" si="75"/>
        <v>#REF!</v>
      </c>
    </row>
    <row r="156" spans="1:16">
      <c r="E156" t="s">
        <v>120</v>
      </c>
      <c r="F156" s="19" t="s">
        <v>236</v>
      </c>
      <c r="G156" s="167">
        <f t="shared" ref="G156:K156" si="79">G28</f>
        <v>3</v>
      </c>
      <c r="H156" s="167">
        <f t="shared" si="79"/>
        <v>1</v>
      </c>
      <c r="I156" s="167">
        <f t="shared" si="79"/>
        <v>1</v>
      </c>
      <c r="J156" s="167">
        <f t="shared" si="79"/>
        <v>1</v>
      </c>
      <c r="K156" s="167">
        <f t="shared" si="79"/>
        <v>3</v>
      </c>
      <c r="L156" s="167">
        <f t="shared" si="77"/>
        <v>9</v>
      </c>
      <c r="M156" s="168">
        <f t="shared" si="78"/>
        <v>1.8</v>
      </c>
      <c r="O156" s="119">
        <f t="shared" ref="O156:O159" si="80">M156</f>
        <v>1.8</v>
      </c>
      <c r="P156" s="119" t="e">
        <f t="shared" si="75"/>
        <v>#REF!</v>
      </c>
    </row>
    <row r="157" spans="1:16">
      <c r="E157" t="s">
        <v>267</v>
      </c>
      <c r="F157" s="19" t="s">
        <v>236</v>
      </c>
      <c r="G157" s="167">
        <f t="shared" ref="G157:K157" si="81">G29</f>
        <v>3</v>
      </c>
      <c r="H157" s="167">
        <f>H29</f>
        <v>0</v>
      </c>
      <c r="I157" s="167">
        <f t="shared" si="81"/>
        <v>0</v>
      </c>
      <c r="J157" s="167">
        <f t="shared" si="81"/>
        <v>0</v>
      </c>
      <c r="K157" s="167">
        <f t="shared" si="81"/>
        <v>0</v>
      </c>
      <c r="L157" s="167">
        <f t="shared" si="77"/>
        <v>3</v>
      </c>
      <c r="M157" s="168">
        <f t="shared" si="78"/>
        <v>0.6</v>
      </c>
      <c r="O157" s="119">
        <f t="shared" si="80"/>
        <v>0.6</v>
      </c>
      <c r="P157" s="119" t="e">
        <f t="shared" si="75"/>
        <v>#REF!</v>
      </c>
    </row>
    <row r="158" spans="1:16">
      <c r="E158" t="s">
        <v>121</v>
      </c>
      <c r="F158" s="19" t="s">
        <v>236</v>
      </c>
      <c r="G158" s="167">
        <f t="shared" ref="G158:K158" si="82">G30</f>
        <v>0</v>
      </c>
      <c r="H158" s="167">
        <f t="shared" si="82"/>
        <v>0</v>
      </c>
      <c r="I158" s="167">
        <f t="shared" si="82"/>
        <v>0</v>
      </c>
      <c r="J158" s="167">
        <f t="shared" si="82"/>
        <v>0</v>
      </c>
      <c r="K158" s="167">
        <f t="shared" si="82"/>
        <v>0</v>
      </c>
      <c r="L158" s="167">
        <f t="shared" si="77"/>
        <v>0</v>
      </c>
      <c r="M158" s="168">
        <f t="shared" si="78"/>
        <v>0</v>
      </c>
      <c r="O158" s="119">
        <f t="shared" si="80"/>
        <v>0</v>
      </c>
      <c r="P158" s="119" t="e">
        <f t="shared" si="75"/>
        <v>#REF!</v>
      </c>
    </row>
    <row r="159" spans="1:16">
      <c r="E159" t="s">
        <v>146</v>
      </c>
      <c r="F159" s="19" t="s">
        <v>236</v>
      </c>
      <c r="G159" s="167">
        <f t="shared" ref="G159:K159" si="83">G31</f>
        <v>15</v>
      </c>
      <c r="H159" s="167">
        <f t="shared" si="83"/>
        <v>25</v>
      </c>
      <c r="I159" s="167">
        <f t="shared" si="83"/>
        <v>19</v>
      </c>
      <c r="J159" s="167">
        <f t="shared" si="83"/>
        <v>20</v>
      </c>
      <c r="K159" s="167">
        <f t="shared" si="83"/>
        <v>20</v>
      </c>
      <c r="L159" s="167">
        <f t="shared" si="77"/>
        <v>99</v>
      </c>
      <c r="M159" s="168">
        <f>L159/5</f>
        <v>19.8</v>
      </c>
      <c r="O159" s="119">
        <f t="shared" si="80"/>
        <v>19.8</v>
      </c>
      <c r="P159" s="119" t="e">
        <f t="shared" si="75"/>
        <v>#REF!</v>
      </c>
    </row>
    <row r="160" spans="1:16">
      <c r="E160" t="s">
        <v>139</v>
      </c>
      <c r="F160" s="19" t="s">
        <v>236</v>
      </c>
      <c r="G160" s="169">
        <f>SUM(G154:G159)</f>
        <v>26</v>
      </c>
      <c r="H160" s="169">
        <f t="shared" ref="H160" si="84">SUM(H154:H159)</f>
        <v>34</v>
      </c>
      <c r="I160" s="169">
        <f t="shared" ref="I160" si="85">SUM(I154:I159)</f>
        <v>24</v>
      </c>
      <c r="J160" s="169">
        <f t="shared" ref="J160" si="86">SUM(J154:J159)</f>
        <v>21</v>
      </c>
      <c r="K160" s="169">
        <f t="shared" ref="K160" si="87">SUM(K154:K159)</f>
        <v>27</v>
      </c>
      <c r="L160" s="169">
        <f>SUM(L154:L159)</f>
        <v>132</v>
      </c>
      <c r="M160" s="168">
        <f>L160/5</f>
        <v>26.4</v>
      </c>
      <c r="O160" s="119">
        <f>M160</f>
        <v>26.4</v>
      </c>
      <c r="P160" s="119" t="e">
        <f t="shared" si="75"/>
        <v>#REF!</v>
      </c>
    </row>
    <row r="161" spans="1:16">
      <c r="A161" s="12"/>
      <c r="B161" s="12"/>
      <c r="C161" s="12"/>
      <c r="D161" s="12"/>
      <c r="G161" s="92"/>
      <c r="H161" s="75"/>
      <c r="I161" s="60"/>
      <c r="J161" s="60"/>
      <c r="K161" s="50"/>
      <c r="O161" s="19"/>
      <c r="P161" s="19"/>
    </row>
    <row r="162" spans="1:16">
      <c r="A162" s="12"/>
      <c r="B162" s="12" t="s">
        <v>293</v>
      </c>
      <c r="D162" s="12"/>
      <c r="G162" s="92"/>
      <c r="H162" s="75"/>
      <c r="I162" s="60"/>
      <c r="J162" s="60"/>
      <c r="K162" s="50"/>
      <c r="O162" s="19"/>
      <c r="P162" s="19"/>
    </row>
    <row r="163" spans="1:16">
      <c r="A163" s="12"/>
      <c r="B163" s="12"/>
      <c r="C163" s="12" t="s">
        <v>320</v>
      </c>
      <c r="D163" s="12"/>
      <c r="G163" s="92"/>
      <c r="H163" s="75"/>
      <c r="I163" s="60"/>
      <c r="J163" s="60"/>
      <c r="K163" s="50"/>
      <c r="O163" s="19"/>
      <c r="P163" s="19"/>
    </row>
    <row r="164" spans="1:16" ht="30">
      <c r="E164" t="s">
        <v>144</v>
      </c>
      <c r="F164" s="19" t="s">
        <v>41</v>
      </c>
      <c r="G164" s="90">
        <v>2017</v>
      </c>
      <c r="H164" s="158">
        <v>2018</v>
      </c>
      <c r="I164" s="90">
        <v>2019</v>
      </c>
      <c r="J164" s="90">
        <v>2020</v>
      </c>
      <c r="K164" s="90">
        <v>2021</v>
      </c>
      <c r="L164" s="19" t="s">
        <v>139</v>
      </c>
      <c r="M164" s="118" t="s">
        <v>266</v>
      </c>
      <c r="O164" s="19">
        <v>2021</v>
      </c>
      <c r="P164" s="19">
        <v>2045</v>
      </c>
    </row>
    <row r="165" spans="1:16">
      <c r="E165" t="s">
        <v>119</v>
      </c>
      <c r="F165" s="19" t="s">
        <v>236</v>
      </c>
      <c r="G165" s="167" t="e">
        <f t="shared" ref="G165:K170" si="88">G36-G129</f>
        <v>#REF!</v>
      </c>
      <c r="H165" s="167" t="e">
        <f t="shared" si="88"/>
        <v>#REF!</v>
      </c>
      <c r="I165" s="167" t="e">
        <f t="shared" si="88"/>
        <v>#REF!</v>
      </c>
      <c r="J165" s="167" t="e">
        <f t="shared" si="88"/>
        <v>#REF!</v>
      </c>
      <c r="K165" s="167" t="e">
        <f t="shared" si="88"/>
        <v>#REF!</v>
      </c>
      <c r="L165" s="167" t="e">
        <f>SUM(G165:K165)</f>
        <v>#REF!</v>
      </c>
      <c r="M165" s="168" t="e">
        <f>L165/5</f>
        <v>#REF!</v>
      </c>
      <c r="O165" s="119" t="e">
        <f>M165</f>
        <v>#REF!</v>
      </c>
      <c r="P165" s="119" t="e">
        <f t="shared" ref="P165:P171" si="89">O165*(1+$G$11)^($P$164-$O$164)</f>
        <v>#REF!</v>
      </c>
    </row>
    <row r="166" spans="1:16">
      <c r="E166" t="s">
        <v>145</v>
      </c>
      <c r="F166" s="19" t="s">
        <v>236</v>
      </c>
      <c r="G166" s="167" t="e">
        <f t="shared" si="88"/>
        <v>#REF!</v>
      </c>
      <c r="H166" s="167" t="e">
        <f t="shared" si="88"/>
        <v>#REF!</v>
      </c>
      <c r="I166" s="167" t="e">
        <f t="shared" si="88"/>
        <v>#REF!</v>
      </c>
      <c r="J166" s="167" t="e">
        <f t="shared" si="88"/>
        <v>#REF!</v>
      </c>
      <c r="K166" s="167" t="e">
        <f t="shared" si="88"/>
        <v>#REF!</v>
      </c>
      <c r="L166" s="167" t="e">
        <f t="shared" ref="L166:L170" si="90">SUM(G166:K166)</f>
        <v>#REF!</v>
      </c>
      <c r="M166" s="168" t="e">
        <f t="shared" ref="M166:M170" si="91">L166/5</f>
        <v>#REF!</v>
      </c>
      <c r="O166" s="119" t="e">
        <f>M166</f>
        <v>#REF!</v>
      </c>
      <c r="P166" s="119" t="e">
        <f t="shared" si="89"/>
        <v>#REF!</v>
      </c>
    </row>
    <row r="167" spans="1:16">
      <c r="E167" t="s">
        <v>120</v>
      </c>
      <c r="F167" s="19" t="s">
        <v>236</v>
      </c>
      <c r="G167" s="167" t="e">
        <f t="shared" si="88"/>
        <v>#REF!</v>
      </c>
      <c r="H167" s="167" t="e">
        <f t="shared" si="88"/>
        <v>#REF!</v>
      </c>
      <c r="I167" s="167" t="e">
        <f t="shared" si="88"/>
        <v>#REF!</v>
      </c>
      <c r="J167" s="167" t="e">
        <f t="shared" si="88"/>
        <v>#REF!</v>
      </c>
      <c r="K167" s="167" t="e">
        <f t="shared" si="88"/>
        <v>#REF!</v>
      </c>
      <c r="L167" s="167" t="e">
        <f t="shared" si="90"/>
        <v>#REF!</v>
      </c>
      <c r="M167" s="168" t="e">
        <f t="shared" si="91"/>
        <v>#REF!</v>
      </c>
      <c r="O167" s="119" t="e">
        <f t="shared" ref="O167:O171" si="92">M167</f>
        <v>#REF!</v>
      </c>
      <c r="P167" s="119" t="e">
        <f t="shared" si="89"/>
        <v>#REF!</v>
      </c>
    </row>
    <row r="168" spans="1:16">
      <c r="E168" t="s">
        <v>267</v>
      </c>
      <c r="F168" s="19" t="s">
        <v>236</v>
      </c>
      <c r="G168" s="167" t="e">
        <f t="shared" si="88"/>
        <v>#REF!</v>
      </c>
      <c r="H168" s="167" t="e">
        <f t="shared" si="88"/>
        <v>#REF!</v>
      </c>
      <c r="I168" s="167" t="e">
        <f t="shared" si="88"/>
        <v>#REF!</v>
      </c>
      <c r="J168" s="167" t="e">
        <f t="shared" si="88"/>
        <v>#REF!</v>
      </c>
      <c r="K168" s="167" t="e">
        <f t="shared" si="88"/>
        <v>#REF!</v>
      </c>
      <c r="L168" s="167" t="e">
        <f t="shared" si="90"/>
        <v>#REF!</v>
      </c>
      <c r="M168" s="168" t="e">
        <f t="shared" si="91"/>
        <v>#REF!</v>
      </c>
      <c r="O168" s="119" t="e">
        <f t="shared" si="92"/>
        <v>#REF!</v>
      </c>
      <c r="P168" s="119" t="e">
        <f t="shared" si="89"/>
        <v>#REF!</v>
      </c>
    </row>
    <row r="169" spans="1:16">
      <c r="E169" t="s">
        <v>121</v>
      </c>
      <c r="F169" s="19" t="s">
        <v>236</v>
      </c>
      <c r="G169" s="167" t="e">
        <f t="shared" si="88"/>
        <v>#REF!</v>
      </c>
      <c r="H169" s="167" t="e">
        <f t="shared" si="88"/>
        <v>#REF!</v>
      </c>
      <c r="I169" s="167" t="e">
        <f t="shared" si="88"/>
        <v>#REF!</v>
      </c>
      <c r="J169" s="167" t="e">
        <f t="shared" si="88"/>
        <v>#REF!</v>
      </c>
      <c r="K169" s="167" t="e">
        <f t="shared" si="88"/>
        <v>#REF!</v>
      </c>
      <c r="L169" s="167" t="e">
        <f t="shared" si="90"/>
        <v>#REF!</v>
      </c>
      <c r="M169" s="168" t="e">
        <f t="shared" si="91"/>
        <v>#REF!</v>
      </c>
      <c r="O169" s="119" t="e">
        <f t="shared" si="92"/>
        <v>#REF!</v>
      </c>
      <c r="P169" s="119" t="e">
        <f t="shared" si="89"/>
        <v>#REF!</v>
      </c>
    </row>
    <row r="170" spans="1:16">
      <c r="E170" t="s">
        <v>146</v>
      </c>
      <c r="F170" s="19" t="s">
        <v>236</v>
      </c>
      <c r="G170" s="167" t="e">
        <f t="shared" si="88"/>
        <v>#REF!</v>
      </c>
      <c r="H170" s="167" t="e">
        <f t="shared" si="88"/>
        <v>#REF!</v>
      </c>
      <c r="I170" s="167" t="e">
        <f t="shared" si="88"/>
        <v>#REF!</v>
      </c>
      <c r="J170" s="167" t="e">
        <f t="shared" si="88"/>
        <v>#REF!</v>
      </c>
      <c r="K170" s="167" t="e">
        <f t="shared" si="88"/>
        <v>#REF!</v>
      </c>
      <c r="L170" s="167" t="e">
        <f t="shared" si="90"/>
        <v>#REF!</v>
      </c>
      <c r="M170" s="168" t="e">
        <f t="shared" si="91"/>
        <v>#REF!</v>
      </c>
      <c r="O170" s="119" t="e">
        <f t="shared" si="92"/>
        <v>#REF!</v>
      </c>
      <c r="P170" s="119" t="e">
        <f t="shared" si="89"/>
        <v>#REF!</v>
      </c>
    </row>
    <row r="171" spans="1:16">
      <c r="E171" t="s">
        <v>139</v>
      </c>
      <c r="F171" s="19" t="s">
        <v>236</v>
      </c>
      <c r="G171" s="169" t="e">
        <f>SUM(G165:G170)</f>
        <v>#REF!</v>
      </c>
      <c r="H171" s="169" t="e">
        <f t="shared" ref="H171" si="93">SUM(H165:H170)</f>
        <v>#REF!</v>
      </c>
      <c r="I171" s="169" t="e">
        <f t="shared" ref="I171" si="94">SUM(I165:I170)</f>
        <v>#REF!</v>
      </c>
      <c r="J171" s="169" t="e">
        <f t="shared" ref="J171" si="95">SUM(J165:J170)</f>
        <v>#REF!</v>
      </c>
      <c r="K171" s="169" t="e">
        <f t="shared" ref="K171" si="96">SUM(K165:K170)</f>
        <v>#REF!</v>
      </c>
      <c r="L171" s="169" t="e">
        <f>SUM(L165:L170)</f>
        <v>#REF!</v>
      </c>
      <c r="M171" s="168" t="e">
        <f>L171/5</f>
        <v>#REF!</v>
      </c>
      <c r="O171" s="119" t="e">
        <f t="shared" si="92"/>
        <v>#REF!</v>
      </c>
      <c r="P171" s="119" t="e">
        <f t="shared" si="89"/>
        <v>#REF!</v>
      </c>
    </row>
    <row r="172" spans="1:16">
      <c r="G172" s="160"/>
      <c r="H172" s="160"/>
      <c r="I172" s="160"/>
      <c r="J172" s="160"/>
      <c r="K172" s="160"/>
      <c r="L172" s="160"/>
      <c r="M172" s="119"/>
      <c r="O172" s="119"/>
      <c r="P172" s="119"/>
    </row>
    <row r="173" spans="1:16">
      <c r="A173" s="12"/>
      <c r="B173" s="12" t="s">
        <v>294</v>
      </c>
      <c r="D173" s="12"/>
      <c r="G173" s="92"/>
      <c r="H173" s="75"/>
      <c r="I173" s="60"/>
      <c r="J173" s="60"/>
      <c r="K173" s="50"/>
      <c r="O173" s="19"/>
      <c r="P173" s="19"/>
    </row>
    <row r="174" spans="1:16">
      <c r="A174" s="12"/>
      <c r="B174" s="12"/>
      <c r="C174" s="12" t="s">
        <v>321</v>
      </c>
      <c r="D174" s="12"/>
      <c r="G174" s="92"/>
      <c r="H174" s="75"/>
      <c r="I174" s="60"/>
      <c r="J174" s="60"/>
      <c r="K174" s="50"/>
      <c r="O174" s="19"/>
      <c r="P174" s="19"/>
    </row>
    <row r="175" spans="1:16" ht="30">
      <c r="E175" t="s">
        <v>144</v>
      </c>
      <c r="F175" s="19" t="s">
        <v>41</v>
      </c>
      <c r="G175" s="90">
        <v>2017</v>
      </c>
      <c r="H175" s="158">
        <v>2018</v>
      </c>
      <c r="I175" s="90">
        <v>2019</v>
      </c>
      <c r="J175" s="90">
        <v>2020</v>
      </c>
      <c r="K175" s="90">
        <v>2021</v>
      </c>
      <c r="L175" s="19" t="s">
        <v>139</v>
      </c>
      <c r="M175" s="118" t="s">
        <v>266</v>
      </c>
      <c r="O175" s="19">
        <v>2021</v>
      </c>
      <c r="P175" s="19">
        <v>2045</v>
      </c>
    </row>
    <row r="176" spans="1:16">
      <c r="E176" t="s">
        <v>119</v>
      </c>
      <c r="F176" s="19" t="s">
        <v>236</v>
      </c>
      <c r="G176" s="167">
        <f>G46</f>
        <v>0</v>
      </c>
      <c r="H176" s="167">
        <f t="shared" ref="H176:K176" si="97">H46</f>
        <v>0</v>
      </c>
      <c r="I176" s="167">
        <f t="shared" si="97"/>
        <v>0</v>
      </c>
      <c r="J176" s="167">
        <f t="shared" si="97"/>
        <v>0</v>
      </c>
      <c r="K176" s="167">
        <f t="shared" si="97"/>
        <v>0</v>
      </c>
      <c r="L176" s="167">
        <f>SUM(G176:K176)</f>
        <v>0</v>
      </c>
      <c r="M176" s="168">
        <f>L176/5</f>
        <v>0</v>
      </c>
      <c r="O176" s="119">
        <f>M176</f>
        <v>0</v>
      </c>
      <c r="P176" s="119" t="e">
        <f t="shared" ref="P176:P182" si="98">O176*(1+$G$11)^($P$175-$O$175)</f>
        <v>#REF!</v>
      </c>
    </row>
    <row r="177" spans="1:16">
      <c r="E177" t="s">
        <v>145</v>
      </c>
      <c r="F177" s="19" t="s">
        <v>236</v>
      </c>
      <c r="G177" s="167">
        <f t="shared" ref="G177:K177" si="99">G47</f>
        <v>1</v>
      </c>
      <c r="H177" s="167">
        <f t="shared" si="99"/>
        <v>1</v>
      </c>
      <c r="I177" s="167">
        <f t="shared" si="99"/>
        <v>3</v>
      </c>
      <c r="J177" s="167">
        <f t="shared" si="99"/>
        <v>0</v>
      </c>
      <c r="K177" s="167">
        <f t="shared" si="99"/>
        <v>1</v>
      </c>
      <c r="L177" s="167">
        <f t="shared" ref="L177:L181" si="100">SUM(G177:K177)</f>
        <v>6</v>
      </c>
      <c r="M177" s="168">
        <f t="shared" ref="M177:M181" si="101">L177/5</f>
        <v>1.2</v>
      </c>
      <c r="O177" s="119">
        <f>M177</f>
        <v>1.2</v>
      </c>
      <c r="P177" s="119" t="e">
        <f t="shared" si="98"/>
        <v>#REF!</v>
      </c>
    </row>
    <row r="178" spans="1:16">
      <c r="E178" t="s">
        <v>120</v>
      </c>
      <c r="F178" s="19" t="s">
        <v>236</v>
      </c>
      <c r="G178" s="167">
        <f t="shared" ref="G178:K178" si="102">G48</f>
        <v>1</v>
      </c>
      <c r="H178" s="167">
        <f t="shared" si="102"/>
        <v>1</v>
      </c>
      <c r="I178" s="167">
        <f t="shared" si="102"/>
        <v>2</v>
      </c>
      <c r="J178" s="167">
        <f t="shared" si="102"/>
        <v>2</v>
      </c>
      <c r="K178" s="167">
        <f t="shared" si="102"/>
        <v>1</v>
      </c>
      <c r="L178" s="167">
        <f t="shared" si="100"/>
        <v>7</v>
      </c>
      <c r="M178" s="168">
        <f t="shared" si="101"/>
        <v>1.4</v>
      </c>
      <c r="O178" s="119">
        <f t="shared" ref="O178:O182" si="103">M178</f>
        <v>1.4</v>
      </c>
      <c r="P178" s="119" t="e">
        <f t="shared" si="98"/>
        <v>#REF!</v>
      </c>
    </row>
    <row r="179" spans="1:16">
      <c r="E179" t="s">
        <v>267</v>
      </c>
      <c r="F179" s="19" t="s">
        <v>236</v>
      </c>
      <c r="G179" s="167">
        <f t="shared" ref="G179:K179" si="104">G49</f>
        <v>0</v>
      </c>
      <c r="H179" s="167">
        <f t="shared" si="104"/>
        <v>0</v>
      </c>
      <c r="I179" s="167">
        <f t="shared" si="104"/>
        <v>1</v>
      </c>
      <c r="J179" s="167">
        <f t="shared" si="104"/>
        <v>0</v>
      </c>
      <c r="K179" s="167">
        <f t="shared" si="104"/>
        <v>0</v>
      </c>
      <c r="L179" s="167">
        <f t="shared" si="100"/>
        <v>1</v>
      </c>
      <c r="M179" s="168">
        <f t="shared" si="101"/>
        <v>0.2</v>
      </c>
      <c r="O179" s="119">
        <f t="shared" si="103"/>
        <v>0.2</v>
      </c>
      <c r="P179" s="119" t="e">
        <f t="shared" si="98"/>
        <v>#REF!</v>
      </c>
    </row>
    <row r="180" spans="1:16">
      <c r="E180" t="s">
        <v>121</v>
      </c>
      <c r="F180" s="19" t="s">
        <v>236</v>
      </c>
      <c r="G180" s="167">
        <f t="shared" ref="G180:K180" si="105">G50</f>
        <v>0</v>
      </c>
      <c r="H180" s="167">
        <f t="shared" si="105"/>
        <v>0</v>
      </c>
      <c r="I180" s="167">
        <f t="shared" si="105"/>
        <v>0</v>
      </c>
      <c r="J180" s="167">
        <f t="shared" si="105"/>
        <v>0</v>
      </c>
      <c r="K180" s="167">
        <f t="shared" si="105"/>
        <v>0</v>
      </c>
      <c r="L180" s="167">
        <f t="shared" si="100"/>
        <v>0</v>
      </c>
      <c r="M180" s="168">
        <f t="shared" si="101"/>
        <v>0</v>
      </c>
      <c r="O180" s="119">
        <f t="shared" si="103"/>
        <v>0</v>
      </c>
      <c r="P180" s="119" t="e">
        <f t="shared" si="98"/>
        <v>#REF!</v>
      </c>
    </row>
    <row r="181" spans="1:16">
      <c r="E181" t="s">
        <v>146</v>
      </c>
      <c r="F181" s="19" t="s">
        <v>236</v>
      </c>
      <c r="G181" s="167">
        <f t="shared" ref="G181:K181" si="106">G51</f>
        <v>12</v>
      </c>
      <c r="H181" s="167">
        <f t="shared" si="106"/>
        <v>14</v>
      </c>
      <c r="I181" s="167">
        <f t="shared" si="106"/>
        <v>14</v>
      </c>
      <c r="J181" s="167">
        <f t="shared" si="106"/>
        <v>12</v>
      </c>
      <c r="K181" s="167">
        <f t="shared" si="106"/>
        <v>8</v>
      </c>
      <c r="L181" s="167">
        <f t="shared" si="100"/>
        <v>60</v>
      </c>
      <c r="M181" s="168">
        <f t="shared" si="101"/>
        <v>12</v>
      </c>
      <c r="O181" s="119">
        <f t="shared" si="103"/>
        <v>12</v>
      </c>
      <c r="P181" s="119" t="e">
        <f t="shared" si="98"/>
        <v>#REF!</v>
      </c>
    </row>
    <row r="182" spans="1:16">
      <c r="E182" t="s">
        <v>139</v>
      </c>
      <c r="F182" s="19" t="s">
        <v>236</v>
      </c>
      <c r="G182" s="169">
        <f>SUM(G176:G181)</f>
        <v>14</v>
      </c>
      <c r="H182" s="169">
        <f t="shared" ref="H182" si="107">SUM(H176:H181)</f>
        <v>16</v>
      </c>
      <c r="I182" s="169">
        <f t="shared" ref="I182" si="108">SUM(I176:I181)</f>
        <v>20</v>
      </c>
      <c r="J182" s="169">
        <f t="shared" ref="J182" si="109">SUM(J176:J181)</f>
        <v>14</v>
      </c>
      <c r="K182" s="169">
        <f t="shared" ref="K182" si="110">SUM(K176:K181)</f>
        <v>10</v>
      </c>
      <c r="L182" s="169">
        <f>SUM(L176:L181)</f>
        <v>74</v>
      </c>
      <c r="M182" s="168">
        <f>L182/5</f>
        <v>14.8</v>
      </c>
      <c r="O182" s="119">
        <f t="shared" si="103"/>
        <v>14.8</v>
      </c>
      <c r="P182" s="119" t="e">
        <f t="shared" si="98"/>
        <v>#REF!</v>
      </c>
    </row>
    <row r="183" spans="1:16">
      <c r="A183" s="12"/>
      <c r="B183" s="12"/>
      <c r="C183" s="12"/>
      <c r="D183" s="12"/>
      <c r="G183" s="92"/>
      <c r="H183" s="75"/>
      <c r="I183" s="60"/>
      <c r="J183" s="60"/>
      <c r="K183" s="50"/>
      <c r="O183" s="19"/>
      <c r="P183" s="19"/>
    </row>
    <row r="184" spans="1:16">
      <c r="A184" s="12"/>
      <c r="B184" s="12" t="s">
        <v>309</v>
      </c>
      <c r="D184" s="12"/>
      <c r="G184" s="92"/>
      <c r="H184" s="75"/>
      <c r="I184" s="60"/>
      <c r="J184" s="60"/>
      <c r="K184" s="50"/>
      <c r="O184" s="19"/>
      <c r="P184" s="19"/>
    </row>
    <row r="185" spans="1:16">
      <c r="A185" s="12"/>
      <c r="B185" s="12"/>
      <c r="C185" s="12" t="s">
        <v>318</v>
      </c>
      <c r="D185" s="12"/>
      <c r="G185" s="92"/>
      <c r="H185" s="75"/>
      <c r="I185" s="60"/>
      <c r="J185" s="60"/>
      <c r="K185" s="50"/>
      <c r="O185" s="19"/>
      <c r="P185" s="19"/>
    </row>
    <row r="186" spans="1:16">
      <c r="A186" s="12"/>
      <c r="B186" s="12"/>
      <c r="C186" s="12"/>
      <c r="D186" s="12"/>
      <c r="G186" s="92"/>
      <c r="H186" s="75"/>
      <c r="I186" s="60"/>
      <c r="J186" s="60"/>
      <c r="K186" s="50"/>
      <c r="O186" s="19"/>
      <c r="P186" s="19"/>
    </row>
    <row r="187" spans="1:16">
      <c r="A187" s="12" t="s">
        <v>268</v>
      </c>
      <c r="B187" s="12"/>
      <c r="C187" s="12"/>
      <c r="D187" s="12"/>
      <c r="G187" s="92"/>
      <c r="H187" s="75"/>
      <c r="I187" s="60"/>
      <c r="J187" s="60"/>
      <c r="K187" s="50"/>
      <c r="O187" s="19"/>
      <c r="P187" s="19"/>
    </row>
    <row r="188" spans="1:16">
      <c r="E188" t="s">
        <v>269</v>
      </c>
      <c r="F188" s="19" t="s">
        <v>270</v>
      </c>
      <c r="G188" s="19" t="s">
        <v>271</v>
      </c>
      <c r="H188" s="19" t="s">
        <v>272</v>
      </c>
    </row>
    <row r="189" spans="1:16">
      <c r="E189" t="s">
        <v>273</v>
      </c>
      <c r="F189" s="173">
        <v>0.74</v>
      </c>
      <c r="G189" s="174">
        <f>1-F189</f>
        <v>0.26</v>
      </c>
      <c r="H189" s="36" t="s">
        <v>322</v>
      </c>
    </row>
    <row r="190" spans="1:16">
      <c r="E190" t="s">
        <v>274</v>
      </c>
      <c r="F190" s="173">
        <v>0.64900000000000002</v>
      </c>
      <c r="G190" s="174">
        <v>0.35099999999999998</v>
      </c>
      <c r="H190" s="36" t="s">
        <v>323</v>
      </c>
    </row>
    <row r="191" spans="1:16">
      <c r="E191" t="s">
        <v>275</v>
      </c>
      <c r="F191" s="175">
        <v>0.85699999999999998</v>
      </c>
      <c r="G191" s="176">
        <v>0.14299999999999999</v>
      </c>
      <c r="H191" s="36" t="s">
        <v>324</v>
      </c>
    </row>
    <row r="192" spans="1:16">
      <c r="E192" t="s">
        <v>276</v>
      </c>
      <c r="F192" s="177">
        <f>F189*F190</f>
        <v>0.48026000000000002</v>
      </c>
      <c r="G192" s="177">
        <f>1-F192</f>
        <v>0.51973999999999998</v>
      </c>
    </row>
    <row r="193" spans="2:15">
      <c r="E193" t="s">
        <v>277</v>
      </c>
      <c r="F193" s="177">
        <f>F189*F191</f>
        <v>0.63417999999999997</v>
      </c>
      <c r="G193" s="177">
        <f>1-F193</f>
        <v>0.36582000000000003</v>
      </c>
    </row>
    <row r="194" spans="2:15">
      <c r="F194" s="172"/>
      <c r="G194" s="172"/>
    </row>
    <row r="195" spans="2:15">
      <c r="B195" t="s">
        <v>273</v>
      </c>
      <c r="F195" s="172"/>
      <c r="G195" s="172"/>
    </row>
    <row r="196" spans="2:15">
      <c r="E196" s="13"/>
      <c r="H196" s="19" t="s">
        <v>274</v>
      </c>
      <c r="O196" t="s">
        <v>325</v>
      </c>
    </row>
  </sheetData>
  <mergeCells count="1">
    <mergeCell ref="E4:J7"/>
  </mergeCells>
  <pageMargins left="0.7" right="0.7" top="0.75" bottom="0.75" header="0.3" footer="0.3"/>
  <pageSetup orientation="portrait" horizontalDpi="300" r:id="rId1"/>
  <ignoredErrors>
    <ignoredError sqref="G32 H32:K32 G22:K22 G42:K42 G52:K52 G90:K90 G102:K102 G112:K112 G123:K123 G135:K135 G145:K145" formulaRange="1"/>
  </ignoredError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2D613-1C61-45FF-AF4C-B631A52E5122}">
  <sheetPr>
    <tabColor rgb="FFFFC000"/>
  </sheetPr>
  <dimension ref="A1:R173"/>
  <sheetViews>
    <sheetView showGridLines="0" zoomScale="85" zoomScaleNormal="85" workbookViewId="0"/>
  </sheetViews>
  <sheetFormatPr defaultColWidth="8.7109375" defaultRowHeight="15" outlineLevelRow="1"/>
  <cols>
    <col min="1" max="1" width="17.5703125" style="231" customWidth="1"/>
    <col min="2" max="8" width="12.7109375" style="231" customWidth="1"/>
    <col min="9" max="9" width="7.42578125" style="231" customWidth="1"/>
    <col min="10" max="10" width="11.28515625" style="231" customWidth="1"/>
    <col min="11" max="11" width="8.7109375" style="231" bestFit="1" customWidth="1"/>
    <col min="12" max="12" width="16.5703125" style="231" bestFit="1" customWidth="1"/>
    <col min="13" max="13" width="3.5703125" style="231" bestFit="1" customWidth="1"/>
    <col min="14" max="14" width="15" style="231" bestFit="1" customWidth="1"/>
    <col min="15" max="15" width="4.7109375" style="231" bestFit="1" customWidth="1"/>
    <col min="16" max="16" width="15.28515625" style="231" bestFit="1" customWidth="1"/>
    <col min="17" max="17" width="4.5703125" style="231" bestFit="1" customWidth="1"/>
    <col min="18" max="18" width="4.7109375" style="231" bestFit="1" customWidth="1"/>
    <col min="19" max="16384" width="8.7109375" style="231"/>
  </cols>
  <sheetData>
    <row r="1" spans="1:10" s="232" customFormat="1">
      <c r="A1" s="233" t="s">
        <v>326</v>
      </c>
    </row>
    <row r="2" spans="1:10">
      <c r="A2" s="26"/>
      <c r="D2" s="234" t="s">
        <v>327</v>
      </c>
      <c r="E2" s="342">
        <v>35</v>
      </c>
      <c r="G2" s="234" t="s">
        <v>328</v>
      </c>
      <c r="H2" s="341">
        <v>1000000</v>
      </c>
    </row>
    <row r="3" spans="1:10">
      <c r="A3" s="231" t="str">
        <f>"Speed: "&amp; $E$2 &amp;"mph"</f>
        <v>Speed: 35mph</v>
      </c>
    </row>
    <row r="4" spans="1:10">
      <c r="A4" s="231" t="s">
        <v>200</v>
      </c>
      <c r="B4" s="407" t="s">
        <v>329</v>
      </c>
      <c r="C4" s="407"/>
      <c r="D4" s="407"/>
      <c r="E4" s="407"/>
      <c r="F4" s="407"/>
      <c r="G4" s="407"/>
      <c r="H4" s="407"/>
    </row>
    <row r="5" spans="1:10">
      <c r="A5" s="236" t="s">
        <v>133</v>
      </c>
      <c r="B5" s="236" t="str">
        <f t="shared" ref="B5:H5" si="0">B61</f>
        <v>CO2</v>
      </c>
      <c r="C5" s="236" t="str">
        <f t="shared" si="0"/>
        <v>CO</v>
      </c>
      <c r="D5" s="236" t="str">
        <f t="shared" si="0"/>
        <v>NOX</v>
      </c>
      <c r="E5" s="236" t="str">
        <f t="shared" si="0"/>
        <v>PM10</v>
      </c>
      <c r="F5" s="236" t="str">
        <f t="shared" si="0"/>
        <v>PM2.5</v>
      </c>
      <c r="G5" s="236" t="str">
        <f t="shared" si="0"/>
        <v>SO2</v>
      </c>
      <c r="H5" s="236" t="str">
        <f t="shared" si="0"/>
        <v>VOC</v>
      </c>
    </row>
    <row r="6" spans="1:10">
      <c r="A6" s="237">
        <v>2020</v>
      </c>
      <c r="B6" s="238">
        <f>INDEX($B$62:$H$77,MATCH($E$2,$A$62:$A$77,0),MATCH(B$5,$B$61:$H$61,0))/$H$2</f>
        <v>3.0998006057739218E-4</v>
      </c>
      <c r="C6" s="238">
        <f>INDEX($B$62:$H$77,MATCH($E$2,$A$62:$A$77,0),MATCH(C$5,$B$61:$H$61,0))/$H$2</f>
        <v>0</v>
      </c>
      <c r="D6" s="238">
        <f t="shared" ref="D6:H6" si="1">INDEX($B$62:$H$77,MATCH($E$2,$A$62:$A$77,0),MATCH(D$5,$B$61:$H$61,0))/$H$2</f>
        <v>9.8252993321764603E-8</v>
      </c>
      <c r="E6" s="238">
        <f t="shared" si="1"/>
        <v>0</v>
      </c>
      <c r="F6" s="238">
        <f t="shared" si="1"/>
        <v>1.196215982588453E-9</v>
      </c>
      <c r="G6" s="238">
        <f t="shared" si="1"/>
        <v>1.6035962762543902E-9</v>
      </c>
      <c r="H6" s="238">
        <f t="shared" si="1"/>
        <v>0</v>
      </c>
    </row>
    <row r="7" spans="1:10">
      <c r="A7" s="239">
        <f>A6+1</f>
        <v>2021</v>
      </c>
      <c r="B7" s="240">
        <f t="shared" ref="B7:H10" si="2">B6+(B$11-B$6)/($A$11-$A$6)</f>
        <v>3.0471358642578079E-4</v>
      </c>
      <c r="C7" s="240">
        <f t="shared" si="2"/>
        <v>0</v>
      </c>
      <c r="D7" s="240">
        <f t="shared" si="2"/>
        <v>8.848598300450425E-8</v>
      </c>
      <c r="E7" s="240">
        <f t="shared" si="2"/>
        <v>0</v>
      </c>
      <c r="F7" s="240">
        <f t="shared" si="2"/>
        <v>1.1461461597946229E-9</v>
      </c>
      <c r="G7" s="240">
        <f t="shared" si="2"/>
        <v>1.5763512681587567E-9</v>
      </c>
      <c r="H7" s="240">
        <f t="shared" si="2"/>
        <v>0</v>
      </c>
      <c r="J7" s="240"/>
    </row>
    <row r="8" spans="1:10">
      <c r="A8" s="239">
        <f>A7+1</f>
        <v>2022</v>
      </c>
      <c r="B8" s="240">
        <f t="shared" si="2"/>
        <v>2.9944711227416939E-4</v>
      </c>
      <c r="C8" s="240">
        <f t="shared" si="2"/>
        <v>0</v>
      </c>
      <c r="D8" s="240">
        <f t="shared" si="2"/>
        <v>7.8718972687243897E-8</v>
      </c>
      <c r="E8" s="240">
        <f t="shared" si="2"/>
        <v>0</v>
      </c>
      <c r="F8" s="240">
        <f t="shared" si="2"/>
        <v>1.0960763370007929E-9</v>
      </c>
      <c r="G8" s="240">
        <f t="shared" si="2"/>
        <v>1.5491062600631231E-9</v>
      </c>
      <c r="H8" s="240">
        <f t="shared" si="2"/>
        <v>0</v>
      </c>
      <c r="J8" s="240"/>
    </row>
    <row r="9" spans="1:10">
      <c r="A9" s="239">
        <f>A8+1</f>
        <v>2023</v>
      </c>
      <c r="B9" s="240">
        <f t="shared" si="2"/>
        <v>2.94180638122558E-4</v>
      </c>
      <c r="C9" s="240">
        <f t="shared" si="2"/>
        <v>0</v>
      </c>
      <c r="D9" s="240">
        <f t="shared" si="2"/>
        <v>6.8951962369983543E-8</v>
      </c>
      <c r="E9" s="240">
        <f t="shared" si="2"/>
        <v>0</v>
      </c>
      <c r="F9" s="240">
        <f t="shared" si="2"/>
        <v>1.0460065142069628E-9</v>
      </c>
      <c r="G9" s="240">
        <f t="shared" si="2"/>
        <v>1.5218612519674896E-9</v>
      </c>
      <c r="H9" s="240">
        <f t="shared" si="2"/>
        <v>0</v>
      </c>
      <c r="J9" s="240"/>
    </row>
    <row r="10" spans="1:10">
      <c r="A10" s="239">
        <f>A9+1</f>
        <v>2024</v>
      </c>
      <c r="B10" s="240">
        <f t="shared" si="2"/>
        <v>2.8891416397094661E-4</v>
      </c>
      <c r="C10" s="240">
        <f t="shared" si="2"/>
        <v>0</v>
      </c>
      <c r="D10" s="240">
        <f t="shared" si="2"/>
        <v>5.9184952052723197E-8</v>
      </c>
      <c r="E10" s="240">
        <f t="shared" si="2"/>
        <v>0</v>
      </c>
      <c r="F10" s="240">
        <f t="shared" si="2"/>
        <v>9.9593669141313273E-10</v>
      </c>
      <c r="G10" s="240">
        <f t="shared" si="2"/>
        <v>1.494616243871856E-9</v>
      </c>
      <c r="H10" s="240">
        <f t="shared" si="2"/>
        <v>0</v>
      </c>
      <c r="J10" s="240"/>
    </row>
    <row r="11" spans="1:10">
      <c r="A11" s="237">
        <v>2025</v>
      </c>
      <c r="B11" s="238">
        <f t="shared" ref="B11:H11" si="3">INDEX($B$84:$H$99,MATCH($E$2,$A$84:$A$99,0),MATCH(B$5,$B$83:$H$83,0))/$H$2</f>
        <v>2.8364768981933532E-4</v>
      </c>
      <c r="C11" s="238">
        <f t="shared" si="3"/>
        <v>0</v>
      </c>
      <c r="D11" s="238">
        <f t="shared" si="3"/>
        <v>4.9417941735462863E-8</v>
      </c>
      <c r="E11" s="238">
        <f t="shared" si="3"/>
        <v>0</v>
      </c>
      <c r="F11" s="238">
        <f t="shared" si="3"/>
        <v>9.4586686861930246E-10</v>
      </c>
      <c r="G11" s="238">
        <f t="shared" si="3"/>
        <v>1.4673712357762229E-9</v>
      </c>
      <c r="H11" s="238">
        <f t="shared" si="3"/>
        <v>0</v>
      </c>
    </row>
    <row r="12" spans="1:10">
      <c r="A12" s="239">
        <f>A11+1</f>
        <v>2026</v>
      </c>
      <c r="B12" s="240">
        <f t="shared" ref="B12:H15" si="4">B11+(B$16-B$11)/($A$16-$A$11)</f>
        <v>2.8015890312194764E-4</v>
      </c>
      <c r="C12" s="240">
        <f t="shared" si="4"/>
        <v>0</v>
      </c>
      <c r="D12" s="240">
        <f t="shared" si="4"/>
        <v>4.3851471044320683E-8</v>
      </c>
      <c r="E12" s="240">
        <f t="shared" si="4"/>
        <v>0</v>
      </c>
      <c r="F12" s="240">
        <f t="shared" si="4"/>
        <v>9.1240095625834994E-10</v>
      </c>
      <c r="G12" s="240">
        <f t="shared" si="4"/>
        <v>1.4493228649371258E-9</v>
      </c>
      <c r="H12" s="240">
        <f t="shared" si="4"/>
        <v>0</v>
      </c>
      <c r="I12" s="240"/>
    </row>
    <row r="13" spans="1:10">
      <c r="A13" s="239">
        <f>A12+1</f>
        <v>2027</v>
      </c>
      <c r="B13" s="240">
        <f t="shared" si="4"/>
        <v>2.7667011642455995E-4</v>
      </c>
      <c r="C13" s="240">
        <f t="shared" si="4"/>
        <v>0</v>
      </c>
      <c r="D13" s="240">
        <f t="shared" si="4"/>
        <v>3.8285000353178502E-8</v>
      </c>
      <c r="E13" s="240">
        <f t="shared" si="4"/>
        <v>0</v>
      </c>
      <c r="F13" s="240">
        <f t="shared" si="4"/>
        <v>8.7893504389739742E-10</v>
      </c>
      <c r="G13" s="240">
        <f t="shared" si="4"/>
        <v>1.4312744940980286E-9</v>
      </c>
      <c r="H13" s="240">
        <f t="shared" si="4"/>
        <v>0</v>
      </c>
      <c r="I13" s="240"/>
    </row>
    <row r="14" spans="1:10">
      <c r="A14" s="239">
        <f>A13+1</f>
        <v>2028</v>
      </c>
      <c r="B14" s="240">
        <f t="shared" si="4"/>
        <v>2.7318132972717227E-4</v>
      </c>
      <c r="C14" s="240">
        <f t="shared" si="4"/>
        <v>0</v>
      </c>
      <c r="D14" s="240">
        <f t="shared" si="4"/>
        <v>3.2718529662036321E-8</v>
      </c>
      <c r="E14" s="240">
        <f t="shared" si="4"/>
        <v>0</v>
      </c>
      <c r="F14" s="240">
        <f t="shared" si="4"/>
        <v>8.454691315364449E-10</v>
      </c>
      <c r="G14" s="240">
        <f t="shared" si="4"/>
        <v>1.4132261232589315E-9</v>
      </c>
      <c r="H14" s="240">
        <f t="shared" si="4"/>
        <v>0</v>
      </c>
      <c r="I14" s="240"/>
    </row>
    <row r="15" spans="1:10">
      <c r="A15" s="239">
        <f>A14+1</f>
        <v>2029</v>
      </c>
      <c r="B15" s="240">
        <f t="shared" si="4"/>
        <v>2.6969254302978458E-4</v>
      </c>
      <c r="C15" s="240">
        <f t="shared" si="4"/>
        <v>0</v>
      </c>
      <c r="D15" s="240">
        <f t="shared" si="4"/>
        <v>2.7152058970894141E-8</v>
      </c>
      <c r="E15" s="240">
        <f t="shared" si="4"/>
        <v>0</v>
      </c>
      <c r="F15" s="240">
        <f t="shared" si="4"/>
        <v>8.1200321917549238E-10</v>
      </c>
      <c r="G15" s="240">
        <f t="shared" si="4"/>
        <v>1.3951777524198344E-9</v>
      </c>
      <c r="H15" s="240">
        <f t="shared" si="4"/>
        <v>0</v>
      </c>
      <c r="I15" s="240"/>
    </row>
    <row r="16" spans="1:10">
      <c r="A16" s="237">
        <v>2030</v>
      </c>
      <c r="B16" s="238">
        <f t="shared" ref="B16:H16" si="5">INDEX($B$106:$H$121,MATCH($E$2,$A$106:$A$121,0),MATCH(B$5,$B$105:$H$105,0))/$H$2</f>
        <v>2.6620375633239701E-4</v>
      </c>
      <c r="C16" s="238">
        <f t="shared" si="5"/>
        <v>0</v>
      </c>
      <c r="D16" s="238">
        <f t="shared" si="5"/>
        <v>2.158558827975196E-8</v>
      </c>
      <c r="E16" s="238">
        <f t="shared" si="5"/>
        <v>0</v>
      </c>
      <c r="F16" s="238">
        <f t="shared" si="5"/>
        <v>7.7853730681453965E-10</v>
      </c>
      <c r="G16" s="238">
        <f t="shared" si="5"/>
        <v>1.3771293815807371E-9</v>
      </c>
      <c r="H16" s="238">
        <f t="shared" si="5"/>
        <v>0</v>
      </c>
    </row>
    <row r="17" spans="1:9">
      <c r="A17" s="239">
        <f t="shared" ref="A17:A25" si="6">A16+1</f>
        <v>2031</v>
      </c>
      <c r="B17" s="240">
        <f t="shared" ref="B17:B25" si="7">B16+(B$26-B$16)/($A$26-$A$16)</f>
        <v>2.6421209249496416E-4</v>
      </c>
      <c r="C17" s="240">
        <f t="shared" ref="C17:C25" si="8">C16+(C$26-C$16)/($A$26-$A$16)</f>
        <v>0</v>
      </c>
      <c r="D17" s="240">
        <f t="shared" ref="D17:D25" si="9">D16+(D$26-D$16)/($A$26-$A$16)</f>
        <v>1.9813429001741918E-8</v>
      </c>
      <c r="E17" s="240">
        <f t="shared" ref="E17:E25" si="10">E16+(E$26-E$16)/($A$26-$A$16)</f>
        <v>0</v>
      </c>
      <c r="F17" s="240">
        <f t="shared" ref="F17:F25" si="11">F16+(F$26-F$16)/($A$26-$A$16)</f>
        <v>7.5669098526702563E-10</v>
      </c>
      <c r="G17" s="240">
        <f t="shared" ref="G17:G25" si="12">G16+(G$26-G$16)/($A$26-$A$16)</f>
        <v>1.3668246298038802E-9</v>
      </c>
      <c r="H17" s="240">
        <f t="shared" ref="H17:H25" si="13">H16+(H$26-H$16)/($A$26-$A$16)</f>
        <v>0</v>
      </c>
      <c r="I17" s="241"/>
    </row>
    <row r="18" spans="1:9">
      <c r="A18" s="239">
        <f t="shared" si="6"/>
        <v>2032</v>
      </c>
      <c r="B18" s="240">
        <f t="shared" si="7"/>
        <v>2.6222042865753131E-4</v>
      </c>
      <c r="C18" s="240">
        <f t="shared" si="8"/>
        <v>0</v>
      </c>
      <c r="D18" s="240">
        <f t="shared" si="9"/>
        <v>1.8041269723731875E-8</v>
      </c>
      <c r="E18" s="240">
        <f t="shared" si="10"/>
        <v>0</v>
      </c>
      <c r="F18" s="240">
        <f t="shared" si="11"/>
        <v>7.3484466371951161E-10</v>
      </c>
      <c r="G18" s="240">
        <f t="shared" si="12"/>
        <v>1.3565198780270233E-9</v>
      </c>
      <c r="H18" s="240">
        <f t="shared" si="13"/>
        <v>0</v>
      </c>
      <c r="I18" s="241"/>
    </row>
    <row r="19" spans="1:9">
      <c r="A19" s="239">
        <f t="shared" si="6"/>
        <v>2033</v>
      </c>
      <c r="B19" s="240">
        <f t="shared" si="7"/>
        <v>2.6022876482009846E-4</v>
      </c>
      <c r="C19" s="240">
        <f t="shared" si="8"/>
        <v>0</v>
      </c>
      <c r="D19" s="240">
        <f t="shared" si="9"/>
        <v>1.6269110445721833E-8</v>
      </c>
      <c r="E19" s="240">
        <f t="shared" si="10"/>
        <v>0</v>
      </c>
      <c r="F19" s="240">
        <f t="shared" si="11"/>
        <v>7.1299834217199758E-10</v>
      </c>
      <c r="G19" s="240">
        <f t="shared" si="12"/>
        <v>1.3462151262501665E-9</v>
      </c>
      <c r="H19" s="240">
        <f t="shared" si="13"/>
        <v>0</v>
      </c>
      <c r="I19" s="241"/>
    </row>
    <row r="20" spans="1:9">
      <c r="A20" s="239">
        <f t="shared" si="6"/>
        <v>2034</v>
      </c>
      <c r="B20" s="240">
        <f t="shared" si="7"/>
        <v>2.5823710098266562E-4</v>
      </c>
      <c r="C20" s="240">
        <f t="shared" si="8"/>
        <v>0</v>
      </c>
      <c r="D20" s="240">
        <f t="shared" si="9"/>
        <v>1.4496951167711792E-8</v>
      </c>
      <c r="E20" s="240">
        <f t="shared" si="10"/>
        <v>0</v>
      </c>
      <c r="F20" s="240">
        <f t="shared" si="11"/>
        <v>6.9115202062448356E-10</v>
      </c>
      <c r="G20" s="240">
        <f t="shared" si="12"/>
        <v>1.3359103744733096E-9</v>
      </c>
      <c r="H20" s="240">
        <f t="shared" si="13"/>
        <v>0</v>
      </c>
      <c r="I20" s="241"/>
    </row>
    <row r="21" spans="1:9">
      <c r="A21" s="239">
        <f t="shared" si="6"/>
        <v>2035</v>
      </c>
      <c r="B21" s="240">
        <f t="shared" si="7"/>
        <v>2.5624543714523277E-4</v>
      </c>
      <c r="C21" s="240">
        <f t="shared" si="8"/>
        <v>0</v>
      </c>
      <c r="D21" s="240">
        <f t="shared" si="9"/>
        <v>1.2724791889701752E-8</v>
      </c>
      <c r="E21" s="240">
        <f t="shared" si="10"/>
        <v>0</v>
      </c>
      <c r="F21" s="240">
        <f t="shared" si="11"/>
        <v>6.6930569907696954E-10</v>
      </c>
      <c r="G21" s="240">
        <f t="shared" si="12"/>
        <v>1.3256056226964527E-9</v>
      </c>
      <c r="H21" s="240">
        <f t="shared" si="13"/>
        <v>0</v>
      </c>
      <c r="I21" s="241"/>
    </row>
    <row r="22" spans="1:9">
      <c r="A22" s="239">
        <f t="shared" si="6"/>
        <v>2036</v>
      </c>
      <c r="B22" s="240">
        <f t="shared" si="7"/>
        <v>2.5425377330779992E-4</v>
      </c>
      <c r="C22" s="240">
        <f t="shared" si="8"/>
        <v>0</v>
      </c>
      <c r="D22" s="240">
        <f t="shared" si="9"/>
        <v>1.0952632611691711E-8</v>
      </c>
      <c r="E22" s="240">
        <f t="shared" si="10"/>
        <v>0</v>
      </c>
      <c r="F22" s="240">
        <f t="shared" si="11"/>
        <v>6.4745937752945551E-10</v>
      </c>
      <c r="G22" s="240">
        <f t="shared" si="12"/>
        <v>1.3153008709195959E-9</v>
      </c>
      <c r="H22" s="240">
        <f t="shared" si="13"/>
        <v>0</v>
      </c>
      <c r="I22" s="241"/>
    </row>
    <row r="23" spans="1:9">
      <c r="A23" s="239">
        <f t="shared" si="6"/>
        <v>2037</v>
      </c>
      <c r="B23" s="240">
        <f t="shared" si="7"/>
        <v>2.5226210947036708E-4</v>
      </c>
      <c r="C23" s="240">
        <f t="shared" si="8"/>
        <v>0</v>
      </c>
      <c r="D23" s="240">
        <f t="shared" si="9"/>
        <v>9.1804733336816701E-9</v>
      </c>
      <c r="E23" s="240">
        <f t="shared" si="10"/>
        <v>0</v>
      </c>
      <c r="F23" s="240">
        <f t="shared" si="11"/>
        <v>6.2561305598194149E-10</v>
      </c>
      <c r="G23" s="240">
        <f t="shared" si="12"/>
        <v>1.304996119142739E-9</v>
      </c>
      <c r="H23" s="240">
        <f t="shared" si="13"/>
        <v>0</v>
      </c>
      <c r="I23" s="241"/>
    </row>
    <row r="24" spans="1:9">
      <c r="A24" s="239">
        <f t="shared" si="6"/>
        <v>2038</v>
      </c>
      <c r="B24" s="240">
        <f t="shared" si="7"/>
        <v>2.5027044563293423E-4</v>
      </c>
      <c r="C24" s="240">
        <f t="shared" si="8"/>
        <v>0</v>
      </c>
      <c r="D24" s="240">
        <f t="shared" si="9"/>
        <v>7.4083140556716293E-9</v>
      </c>
      <c r="E24" s="240">
        <f t="shared" si="10"/>
        <v>0</v>
      </c>
      <c r="F24" s="240">
        <f t="shared" si="11"/>
        <v>6.0376673443442747E-10</v>
      </c>
      <c r="G24" s="240">
        <f t="shared" si="12"/>
        <v>1.2946913673658821E-9</v>
      </c>
      <c r="H24" s="240">
        <f t="shared" si="13"/>
        <v>0</v>
      </c>
      <c r="I24" s="241"/>
    </row>
    <row r="25" spans="1:9">
      <c r="A25" s="239">
        <f t="shared" si="6"/>
        <v>2039</v>
      </c>
      <c r="B25" s="240">
        <f t="shared" si="7"/>
        <v>2.4827878179550138E-4</v>
      </c>
      <c r="C25" s="240">
        <f t="shared" si="8"/>
        <v>0</v>
      </c>
      <c r="D25" s="240">
        <f t="shared" si="9"/>
        <v>5.6361547776615885E-9</v>
      </c>
      <c r="E25" s="240">
        <f t="shared" si="10"/>
        <v>0</v>
      </c>
      <c r="F25" s="240">
        <f t="shared" si="11"/>
        <v>5.8192041288691344E-10</v>
      </c>
      <c r="G25" s="240">
        <f t="shared" si="12"/>
        <v>1.2843866155890252E-9</v>
      </c>
      <c r="H25" s="240">
        <f t="shared" si="13"/>
        <v>0</v>
      </c>
      <c r="I25" s="241"/>
    </row>
    <row r="26" spans="1:9">
      <c r="A26" s="237">
        <v>2040</v>
      </c>
      <c r="B26" s="238">
        <f t="shared" ref="B26:H26" si="14">INDEX($B$128:$H$143,MATCH($E$2,$A$128:$A$143,0),MATCH(B$5,$B$127:$H$127,0))/$H$2</f>
        <v>2.4628711795806842E-4</v>
      </c>
      <c r="C26" s="238">
        <f t="shared" si="14"/>
        <v>0</v>
      </c>
      <c r="D26" s="238">
        <f t="shared" si="14"/>
        <v>3.8639954996515495E-9</v>
      </c>
      <c r="E26" s="238">
        <f t="shared" si="14"/>
        <v>0</v>
      </c>
      <c r="F26" s="238">
        <f t="shared" si="14"/>
        <v>5.6007409133939942E-10</v>
      </c>
      <c r="G26" s="238">
        <f t="shared" si="14"/>
        <v>1.2740818638121678E-9</v>
      </c>
      <c r="H26" s="238">
        <f t="shared" si="14"/>
        <v>0</v>
      </c>
    </row>
    <row r="27" spans="1:9">
      <c r="A27" s="239">
        <f t="shared" ref="A27:A35" si="15">A26+1</f>
        <v>2041</v>
      </c>
      <c r="B27" s="240">
        <f>B26+(B$36-B$26)/($A$36-$A$26)</f>
        <v>2.456292124748226E-4</v>
      </c>
      <c r="C27" s="240">
        <f t="shared" ref="C27:H35" si="16">C26+(C$36-C$26)/($A$36-$A$26)</f>
        <v>0</v>
      </c>
      <c r="D27" s="240">
        <f t="shared" si="16"/>
        <v>3.7059198926575813E-9</v>
      </c>
      <c r="E27" s="240">
        <f t="shared" si="16"/>
        <v>0</v>
      </c>
      <c r="F27" s="240">
        <f t="shared" si="16"/>
        <v>5.5378127644871463E-10</v>
      </c>
      <c r="G27" s="240">
        <f t="shared" si="16"/>
        <v>1.2706776164122823E-9</v>
      </c>
      <c r="H27" s="240">
        <f t="shared" si="16"/>
        <v>0</v>
      </c>
      <c r="I27" s="241"/>
    </row>
    <row r="28" spans="1:9">
      <c r="A28" s="239">
        <f t="shared" si="15"/>
        <v>2042</v>
      </c>
      <c r="B28" s="240">
        <f t="shared" ref="B28:B35" si="17">B27+(B$36-B$26)/($A$36-$A$26)</f>
        <v>2.4497130699157677E-4</v>
      </c>
      <c r="C28" s="240">
        <f t="shared" si="16"/>
        <v>0</v>
      </c>
      <c r="D28" s="240">
        <f t="shared" si="16"/>
        <v>3.5478442856636131E-9</v>
      </c>
      <c r="E28" s="240">
        <f t="shared" si="16"/>
        <v>0</v>
      </c>
      <c r="F28" s="240">
        <f t="shared" si="16"/>
        <v>5.4748846155802984E-10</v>
      </c>
      <c r="G28" s="240">
        <f t="shared" si="16"/>
        <v>1.2672733690123968E-9</v>
      </c>
      <c r="H28" s="240">
        <f t="shared" si="16"/>
        <v>0</v>
      </c>
      <c r="I28" s="241"/>
    </row>
    <row r="29" spans="1:9">
      <c r="A29" s="239">
        <f t="shared" si="15"/>
        <v>2043</v>
      </c>
      <c r="B29" s="240">
        <f t="shared" si="17"/>
        <v>2.4431340150833094E-4</v>
      </c>
      <c r="C29" s="240">
        <f t="shared" si="16"/>
        <v>0</v>
      </c>
      <c r="D29" s="240">
        <f t="shared" si="16"/>
        <v>3.3897686786696449E-9</v>
      </c>
      <c r="E29" s="240">
        <f t="shared" si="16"/>
        <v>0</v>
      </c>
      <c r="F29" s="240">
        <f t="shared" si="16"/>
        <v>5.4119564666734506E-10</v>
      </c>
      <c r="G29" s="240">
        <f t="shared" si="16"/>
        <v>1.2638691216125114E-9</v>
      </c>
      <c r="H29" s="240">
        <f t="shared" si="16"/>
        <v>0</v>
      </c>
      <c r="I29" s="241"/>
    </row>
    <row r="30" spans="1:9">
      <c r="A30" s="239">
        <f t="shared" si="15"/>
        <v>2044</v>
      </c>
      <c r="B30" s="240">
        <f t="shared" si="17"/>
        <v>2.4365549602508508E-4</v>
      </c>
      <c r="C30" s="240">
        <f t="shared" si="16"/>
        <v>0</v>
      </c>
      <c r="D30" s="240">
        <f t="shared" si="16"/>
        <v>3.2316930716756767E-9</v>
      </c>
      <c r="E30" s="240">
        <f t="shared" si="16"/>
        <v>0</v>
      </c>
      <c r="F30" s="240">
        <f t="shared" si="16"/>
        <v>5.3490283177666027E-10</v>
      </c>
      <c r="G30" s="240">
        <f t="shared" si="16"/>
        <v>1.2604648742126259E-9</v>
      </c>
      <c r="H30" s="240">
        <f t="shared" si="16"/>
        <v>0</v>
      </c>
      <c r="I30" s="241"/>
    </row>
    <row r="31" spans="1:9">
      <c r="A31" s="239">
        <f t="shared" si="15"/>
        <v>2045</v>
      </c>
      <c r="B31" s="240">
        <f t="shared" si="17"/>
        <v>2.4299759054183923E-4</v>
      </c>
      <c r="C31" s="240">
        <f t="shared" si="16"/>
        <v>0</v>
      </c>
      <c r="D31" s="240">
        <f t="shared" si="16"/>
        <v>3.0736174646817085E-9</v>
      </c>
      <c r="E31" s="240">
        <f t="shared" si="16"/>
        <v>0</v>
      </c>
      <c r="F31" s="240">
        <f t="shared" si="16"/>
        <v>5.2861001688597548E-10</v>
      </c>
      <c r="G31" s="240">
        <f t="shared" si="16"/>
        <v>1.2570606268127405E-9</v>
      </c>
      <c r="H31" s="240">
        <f t="shared" si="16"/>
        <v>0</v>
      </c>
      <c r="I31" s="241"/>
    </row>
    <row r="32" spans="1:9">
      <c r="A32" s="239">
        <f t="shared" si="15"/>
        <v>2046</v>
      </c>
      <c r="B32" s="240">
        <f t="shared" si="17"/>
        <v>2.4233968505859337E-4</v>
      </c>
      <c r="C32" s="240">
        <f t="shared" si="16"/>
        <v>0</v>
      </c>
      <c r="D32" s="240">
        <f t="shared" si="16"/>
        <v>2.9155418576877403E-9</v>
      </c>
      <c r="E32" s="240">
        <f t="shared" si="16"/>
        <v>0</v>
      </c>
      <c r="F32" s="240">
        <f t="shared" si="16"/>
        <v>5.2231720199529069E-10</v>
      </c>
      <c r="G32" s="240">
        <f t="shared" si="16"/>
        <v>1.253656379412855E-9</v>
      </c>
      <c r="H32" s="240">
        <f t="shared" si="16"/>
        <v>0</v>
      </c>
      <c r="I32" s="241"/>
    </row>
    <row r="33" spans="1:9">
      <c r="A33" s="239">
        <f t="shared" si="15"/>
        <v>2047</v>
      </c>
      <c r="B33" s="240">
        <f t="shared" si="17"/>
        <v>2.4168177957534752E-4</v>
      </c>
      <c r="C33" s="240">
        <f t="shared" si="16"/>
        <v>0</v>
      </c>
      <c r="D33" s="240">
        <f t="shared" si="16"/>
        <v>2.7574662506937721E-9</v>
      </c>
      <c r="E33" s="240">
        <f t="shared" si="16"/>
        <v>0</v>
      </c>
      <c r="F33" s="240">
        <f t="shared" si="16"/>
        <v>5.160243871046059E-10</v>
      </c>
      <c r="G33" s="240">
        <f t="shared" si="16"/>
        <v>1.2502521320129695E-9</v>
      </c>
      <c r="H33" s="240">
        <f t="shared" si="16"/>
        <v>0</v>
      </c>
      <c r="I33" s="241"/>
    </row>
    <row r="34" spans="1:9">
      <c r="A34" s="239">
        <f t="shared" si="15"/>
        <v>2048</v>
      </c>
      <c r="B34" s="240">
        <f t="shared" si="17"/>
        <v>2.4102387409210166E-4</v>
      </c>
      <c r="C34" s="240">
        <f t="shared" si="16"/>
        <v>0</v>
      </c>
      <c r="D34" s="240">
        <f t="shared" si="16"/>
        <v>2.5993906436998039E-9</v>
      </c>
      <c r="E34" s="240">
        <f t="shared" si="16"/>
        <v>0</v>
      </c>
      <c r="F34" s="240">
        <f t="shared" si="16"/>
        <v>5.0973157221392112E-10</v>
      </c>
      <c r="G34" s="240">
        <f t="shared" si="16"/>
        <v>1.2468478846130841E-9</v>
      </c>
      <c r="H34" s="240">
        <f t="shared" si="16"/>
        <v>0</v>
      </c>
      <c r="I34" s="241"/>
    </row>
    <row r="35" spans="1:9">
      <c r="A35" s="239">
        <f t="shared" si="15"/>
        <v>2049</v>
      </c>
      <c r="B35" s="240">
        <f t="shared" si="17"/>
        <v>2.4036596860885581E-4</v>
      </c>
      <c r="C35" s="240">
        <f t="shared" si="16"/>
        <v>0</v>
      </c>
      <c r="D35" s="240">
        <f t="shared" si="16"/>
        <v>2.4413150367058358E-9</v>
      </c>
      <c r="E35" s="240">
        <f t="shared" si="16"/>
        <v>0</v>
      </c>
      <c r="F35" s="240">
        <f t="shared" si="16"/>
        <v>5.0343875732323633E-10</v>
      </c>
      <c r="G35" s="240">
        <f t="shared" si="16"/>
        <v>1.2434436372131986E-9</v>
      </c>
      <c r="H35" s="240">
        <f t="shared" si="16"/>
        <v>0</v>
      </c>
      <c r="I35" s="241"/>
    </row>
    <row r="36" spans="1:9">
      <c r="A36" s="237">
        <v>2050</v>
      </c>
      <c r="B36" s="238">
        <f t="shared" ref="B36:H36" si="18">INDEX($B$150:$H$165,MATCH($E$2,$A$150:$A$165,0),MATCH(B$5,$B$149:$H$149,0))/$H$2</f>
        <v>2.397080631256099E-4</v>
      </c>
      <c r="C36" s="238">
        <f t="shared" si="18"/>
        <v>0</v>
      </c>
      <c r="D36" s="238">
        <f t="shared" si="18"/>
        <v>2.2832394297118676E-9</v>
      </c>
      <c r="E36" s="238">
        <f t="shared" si="18"/>
        <v>0</v>
      </c>
      <c r="F36" s="238">
        <f t="shared" si="18"/>
        <v>4.9714594243255185E-10</v>
      </c>
      <c r="G36" s="238">
        <f t="shared" si="18"/>
        <v>1.2400393898133136E-9</v>
      </c>
      <c r="H36" s="238">
        <f t="shared" si="18"/>
        <v>0</v>
      </c>
      <c r="I36" s="241"/>
    </row>
    <row r="37" spans="1:9">
      <c r="A37" s="242">
        <f t="shared" ref="A37:A51" si="19">A36+1</f>
        <v>2051</v>
      </c>
      <c r="B37" s="243">
        <f t="shared" ref="B37:B51" si="20">B36</f>
        <v>2.397080631256099E-4</v>
      </c>
      <c r="C37" s="243">
        <f t="shared" ref="C37:C51" si="21">C36</f>
        <v>0</v>
      </c>
      <c r="D37" s="243">
        <f t="shared" ref="D37:D51" si="22">D36</f>
        <v>2.2832394297118676E-9</v>
      </c>
      <c r="E37" s="243">
        <f t="shared" ref="E37:E51" si="23">E36</f>
        <v>0</v>
      </c>
      <c r="F37" s="243">
        <f t="shared" ref="F37:F51" si="24">F36</f>
        <v>4.9714594243255185E-10</v>
      </c>
      <c r="G37" s="243">
        <f t="shared" ref="G37:G51" si="25">G36</f>
        <v>1.2400393898133136E-9</v>
      </c>
      <c r="H37" s="243">
        <f t="shared" ref="H37:H51" si="26">H36</f>
        <v>0</v>
      </c>
      <c r="I37" s="244"/>
    </row>
    <row r="38" spans="1:9">
      <c r="A38" s="242">
        <f t="shared" si="19"/>
        <v>2052</v>
      </c>
      <c r="B38" s="243">
        <f t="shared" si="20"/>
        <v>2.397080631256099E-4</v>
      </c>
      <c r="C38" s="243">
        <f t="shared" si="21"/>
        <v>0</v>
      </c>
      <c r="D38" s="243">
        <f t="shared" si="22"/>
        <v>2.2832394297118676E-9</v>
      </c>
      <c r="E38" s="243">
        <f t="shared" si="23"/>
        <v>0</v>
      </c>
      <c r="F38" s="243">
        <f t="shared" si="24"/>
        <v>4.9714594243255185E-10</v>
      </c>
      <c r="G38" s="243">
        <f t="shared" si="25"/>
        <v>1.2400393898133136E-9</v>
      </c>
      <c r="H38" s="243">
        <f t="shared" si="26"/>
        <v>0</v>
      </c>
      <c r="I38" s="244"/>
    </row>
    <row r="39" spans="1:9">
      <c r="A39" s="242">
        <f t="shared" si="19"/>
        <v>2053</v>
      </c>
      <c r="B39" s="243">
        <f t="shared" si="20"/>
        <v>2.397080631256099E-4</v>
      </c>
      <c r="C39" s="243">
        <f t="shared" si="21"/>
        <v>0</v>
      </c>
      <c r="D39" s="243">
        <f t="shared" si="22"/>
        <v>2.2832394297118676E-9</v>
      </c>
      <c r="E39" s="243">
        <f t="shared" si="23"/>
        <v>0</v>
      </c>
      <c r="F39" s="243">
        <f t="shared" si="24"/>
        <v>4.9714594243255185E-10</v>
      </c>
      <c r="G39" s="243">
        <f t="shared" si="25"/>
        <v>1.2400393898133136E-9</v>
      </c>
      <c r="H39" s="243">
        <f t="shared" si="26"/>
        <v>0</v>
      </c>
      <c r="I39" s="244"/>
    </row>
    <row r="40" spans="1:9">
      <c r="A40" s="242">
        <f t="shared" si="19"/>
        <v>2054</v>
      </c>
      <c r="B40" s="243">
        <f t="shared" si="20"/>
        <v>2.397080631256099E-4</v>
      </c>
      <c r="C40" s="243">
        <f t="shared" si="21"/>
        <v>0</v>
      </c>
      <c r="D40" s="243">
        <f t="shared" si="22"/>
        <v>2.2832394297118676E-9</v>
      </c>
      <c r="E40" s="243">
        <f t="shared" si="23"/>
        <v>0</v>
      </c>
      <c r="F40" s="243">
        <f t="shared" si="24"/>
        <v>4.9714594243255185E-10</v>
      </c>
      <c r="G40" s="243">
        <f t="shared" si="25"/>
        <v>1.2400393898133136E-9</v>
      </c>
      <c r="H40" s="243">
        <f t="shared" si="26"/>
        <v>0</v>
      </c>
      <c r="I40" s="244"/>
    </row>
    <row r="41" spans="1:9">
      <c r="A41" s="242">
        <f t="shared" si="19"/>
        <v>2055</v>
      </c>
      <c r="B41" s="243">
        <f t="shared" si="20"/>
        <v>2.397080631256099E-4</v>
      </c>
      <c r="C41" s="243">
        <f t="shared" si="21"/>
        <v>0</v>
      </c>
      <c r="D41" s="243">
        <f t="shared" si="22"/>
        <v>2.2832394297118676E-9</v>
      </c>
      <c r="E41" s="243">
        <f t="shared" si="23"/>
        <v>0</v>
      </c>
      <c r="F41" s="243">
        <f t="shared" si="24"/>
        <v>4.9714594243255185E-10</v>
      </c>
      <c r="G41" s="243">
        <f t="shared" si="25"/>
        <v>1.2400393898133136E-9</v>
      </c>
      <c r="H41" s="243">
        <f t="shared" si="26"/>
        <v>0</v>
      </c>
      <c r="I41" s="244"/>
    </row>
    <row r="42" spans="1:9">
      <c r="A42" s="242">
        <f t="shared" si="19"/>
        <v>2056</v>
      </c>
      <c r="B42" s="243">
        <f t="shared" si="20"/>
        <v>2.397080631256099E-4</v>
      </c>
      <c r="C42" s="243">
        <f t="shared" si="21"/>
        <v>0</v>
      </c>
      <c r="D42" s="243">
        <f t="shared" si="22"/>
        <v>2.2832394297118676E-9</v>
      </c>
      <c r="E42" s="243">
        <f t="shared" si="23"/>
        <v>0</v>
      </c>
      <c r="F42" s="243">
        <f t="shared" si="24"/>
        <v>4.9714594243255185E-10</v>
      </c>
      <c r="G42" s="243">
        <f t="shared" si="25"/>
        <v>1.2400393898133136E-9</v>
      </c>
      <c r="H42" s="243">
        <f t="shared" si="26"/>
        <v>0</v>
      </c>
      <c r="I42" s="244"/>
    </row>
    <row r="43" spans="1:9">
      <c r="A43" s="242">
        <f t="shared" si="19"/>
        <v>2057</v>
      </c>
      <c r="B43" s="243">
        <f t="shared" si="20"/>
        <v>2.397080631256099E-4</v>
      </c>
      <c r="C43" s="243">
        <f t="shared" si="21"/>
        <v>0</v>
      </c>
      <c r="D43" s="243">
        <f t="shared" si="22"/>
        <v>2.2832394297118676E-9</v>
      </c>
      <c r="E43" s="243">
        <f t="shared" si="23"/>
        <v>0</v>
      </c>
      <c r="F43" s="243">
        <f t="shared" si="24"/>
        <v>4.9714594243255185E-10</v>
      </c>
      <c r="G43" s="243">
        <f t="shared" si="25"/>
        <v>1.2400393898133136E-9</v>
      </c>
      <c r="H43" s="243">
        <f t="shared" si="26"/>
        <v>0</v>
      </c>
      <c r="I43" s="244"/>
    </row>
    <row r="44" spans="1:9">
      <c r="A44" s="242">
        <f t="shared" si="19"/>
        <v>2058</v>
      </c>
      <c r="B44" s="243">
        <f t="shared" si="20"/>
        <v>2.397080631256099E-4</v>
      </c>
      <c r="C44" s="243">
        <f t="shared" si="21"/>
        <v>0</v>
      </c>
      <c r="D44" s="243">
        <f t="shared" si="22"/>
        <v>2.2832394297118676E-9</v>
      </c>
      <c r="E44" s="243">
        <f t="shared" si="23"/>
        <v>0</v>
      </c>
      <c r="F44" s="243">
        <f t="shared" si="24"/>
        <v>4.9714594243255185E-10</v>
      </c>
      <c r="G44" s="243">
        <f t="shared" si="25"/>
        <v>1.2400393898133136E-9</v>
      </c>
      <c r="H44" s="243">
        <f t="shared" si="26"/>
        <v>0</v>
      </c>
      <c r="I44" s="244"/>
    </row>
    <row r="45" spans="1:9">
      <c r="A45" s="242">
        <f t="shared" si="19"/>
        <v>2059</v>
      </c>
      <c r="B45" s="243">
        <f t="shared" si="20"/>
        <v>2.397080631256099E-4</v>
      </c>
      <c r="C45" s="243">
        <f t="shared" si="21"/>
        <v>0</v>
      </c>
      <c r="D45" s="243">
        <f t="shared" si="22"/>
        <v>2.2832394297118676E-9</v>
      </c>
      <c r="E45" s="243">
        <f t="shared" si="23"/>
        <v>0</v>
      </c>
      <c r="F45" s="243">
        <f t="shared" si="24"/>
        <v>4.9714594243255185E-10</v>
      </c>
      <c r="G45" s="243">
        <f t="shared" si="25"/>
        <v>1.2400393898133136E-9</v>
      </c>
      <c r="H45" s="243">
        <f t="shared" si="26"/>
        <v>0</v>
      </c>
      <c r="I45" s="244"/>
    </row>
    <row r="46" spans="1:9">
      <c r="A46" s="242">
        <f t="shared" si="19"/>
        <v>2060</v>
      </c>
      <c r="B46" s="243">
        <f t="shared" si="20"/>
        <v>2.397080631256099E-4</v>
      </c>
      <c r="C46" s="243">
        <f t="shared" si="21"/>
        <v>0</v>
      </c>
      <c r="D46" s="243">
        <f t="shared" si="22"/>
        <v>2.2832394297118676E-9</v>
      </c>
      <c r="E46" s="243">
        <f t="shared" si="23"/>
        <v>0</v>
      </c>
      <c r="F46" s="243">
        <f t="shared" si="24"/>
        <v>4.9714594243255185E-10</v>
      </c>
      <c r="G46" s="243">
        <f t="shared" si="25"/>
        <v>1.2400393898133136E-9</v>
      </c>
      <c r="H46" s="243">
        <f t="shared" si="26"/>
        <v>0</v>
      </c>
      <c r="I46" s="244"/>
    </row>
    <row r="47" spans="1:9">
      <c r="A47" s="242">
        <f t="shared" si="19"/>
        <v>2061</v>
      </c>
      <c r="B47" s="243">
        <f t="shared" si="20"/>
        <v>2.397080631256099E-4</v>
      </c>
      <c r="C47" s="243">
        <f t="shared" si="21"/>
        <v>0</v>
      </c>
      <c r="D47" s="243">
        <f t="shared" si="22"/>
        <v>2.2832394297118676E-9</v>
      </c>
      <c r="E47" s="243">
        <f t="shared" si="23"/>
        <v>0</v>
      </c>
      <c r="F47" s="243">
        <f t="shared" si="24"/>
        <v>4.9714594243255185E-10</v>
      </c>
      <c r="G47" s="243">
        <f t="shared" si="25"/>
        <v>1.2400393898133136E-9</v>
      </c>
      <c r="H47" s="243">
        <f t="shared" si="26"/>
        <v>0</v>
      </c>
      <c r="I47" s="244"/>
    </row>
    <row r="48" spans="1:9">
      <c r="A48" s="242">
        <f t="shared" si="19"/>
        <v>2062</v>
      </c>
      <c r="B48" s="243">
        <f t="shared" si="20"/>
        <v>2.397080631256099E-4</v>
      </c>
      <c r="C48" s="243">
        <f t="shared" si="21"/>
        <v>0</v>
      </c>
      <c r="D48" s="243">
        <f t="shared" si="22"/>
        <v>2.2832394297118676E-9</v>
      </c>
      <c r="E48" s="243">
        <f t="shared" si="23"/>
        <v>0</v>
      </c>
      <c r="F48" s="243">
        <f t="shared" si="24"/>
        <v>4.9714594243255185E-10</v>
      </c>
      <c r="G48" s="243">
        <f t="shared" si="25"/>
        <v>1.2400393898133136E-9</v>
      </c>
      <c r="H48" s="243">
        <f t="shared" si="26"/>
        <v>0</v>
      </c>
      <c r="I48" s="244"/>
    </row>
    <row r="49" spans="1:18">
      <c r="A49" s="242">
        <f t="shared" si="19"/>
        <v>2063</v>
      </c>
      <c r="B49" s="243">
        <f t="shared" si="20"/>
        <v>2.397080631256099E-4</v>
      </c>
      <c r="C49" s="243">
        <f t="shared" si="21"/>
        <v>0</v>
      </c>
      <c r="D49" s="243">
        <f t="shared" si="22"/>
        <v>2.2832394297118676E-9</v>
      </c>
      <c r="E49" s="243">
        <f t="shared" si="23"/>
        <v>0</v>
      </c>
      <c r="F49" s="243">
        <f t="shared" si="24"/>
        <v>4.9714594243255185E-10</v>
      </c>
      <c r="G49" s="243">
        <f t="shared" si="25"/>
        <v>1.2400393898133136E-9</v>
      </c>
      <c r="H49" s="243">
        <f t="shared" si="26"/>
        <v>0</v>
      </c>
      <c r="I49" s="244"/>
    </row>
    <row r="50" spans="1:18">
      <c r="A50" s="242">
        <f t="shared" si="19"/>
        <v>2064</v>
      </c>
      <c r="B50" s="243">
        <f t="shared" si="20"/>
        <v>2.397080631256099E-4</v>
      </c>
      <c r="C50" s="243">
        <f t="shared" si="21"/>
        <v>0</v>
      </c>
      <c r="D50" s="243">
        <f t="shared" si="22"/>
        <v>2.2832394297118676E-9</v>
      </c>
      <c r="E50" s="243">
        <f t="shared" si="23"/>
        <v>0</v>
      </c>
      <c r="F50" s="243">
        <f t="shared" si="24"/>
        <v>4.9714594243255185E-10</v>
      </c>
      <c r="G50" s="243">
        <f t="shared" si="25"/>
        <v>1.2400393898133136E-9</v>
      </c>
      <c r="H50" s="243">
        <f t="shared" si="26"/>
        <v>0</v>
      </c>
      <c r="I50" s="244"/>
    </row>
    <row r="51" spans="1:18">
      <c r="A51" s="242">
        <f t="shared" si="19"/>
        <v>2065</v>
      </c>
      <c r="B51" s="243">
        <f t="shared" si="20"/>
        <v>2.397080631256099E-4</v>
      </c>
      <c r="C51" s="243">
        <f t="shared" si="21"/>
        <v>0</v>
      </c>
      <c r="D51" s="243">
        <f t="shared" si="22"/>
        <v>2.2832394297118676E-9</v>
      </c>
      <c r="E51" s="243">
        <f t="shared" si="23"/>
        <v>0</v>
      </c>
      <c r="F51" s="243">
        <f t="shared" si="24"/>
        <v>4.9714594243255185E-10</v>
      </c>
      <c r="G51" s="243">
        <f t="shared" si="25"/>
        <v>1.2400393898133136E-9</v>
      </c>
      <c r="H51" s="243">
        <f t="shared" si="26"/>
        <v>0</v>
      </c>
      <c r="I51" s="244"/>
    </row>
    <row r="52" spans="1:18">
      <c r="A52" s="245" t="s">
        <v>330</v>
      </c>
    </row>
    <row r="53" spans="1:18">
      <c r="A53" s="245"/>
    </row>
    <row r="54" spans="1:18">
      <c r="A54" s="245"/>
      <c r="B54" s="240"/>
      <c r="C54" s="240"/>
      <c r="D54" s="240"/>
      <c r="E54" s="240"/>
      <c r="F54" s="240"/>
      <c r="G54" s="240"/>
      <c r="H54" s="240"/>
    </row>
    <row r="56" spans="1:18" outlineLevel="1">
      <c r="A56" s="246" t="s">
        <v>331</v>
      </c>
    </row>
    <row r="57" spans="1:18" outlineLevel="1">
      <c r="A57" s="231" t="s">
        <v>332</v>
      </c>
      <c r="B57" s="235">
        <v>2020</v>
      </c>
    </row>
    <row r="58" spans="1:18" outlineLevel="1">
      <c r="A58" s="231" t="s">
        <v>333</v>
      </c>
      <c r="B58" s="235" t="s">
        <v>334</v>
      </c>
    </row>
    <row r="59" spans="1:18" outlineLevel="1">
      <c r="A59" s="231" t="s">
        <v>335</v>
      </c>
      <c r="B59" s="235" t="s">
        <v>336</v>
      </c>
      <c r="K59"/>
      <c r="L59"/>
      <c r="M59"/>
      <c r="N59"/>
      <c r="O59"/>
      <c r="P59"/>
      <c r="Q59"/>
    </row>
    <row r="60" spans="1:18" outlineLevel="1">
      <c r="B60" s="407" t="s">
        <v>337</v>
      </c>
      <c r="C60" s="407"/>
      <c r="D60" s="407"/>
      <c r="E60" s="407"/>
      <c r="F60" s="407"/>
      <c r="G60" s="407"/>
      <c r="H60" s="407"/>
      <c r="K60"/>
      <c r="L60"/>
      <c r="M60"/>
      <c r="N60"/>
      <c r="O60"/>
      <c r="P60"/>
      <c r="Q60"/>
    </row>
    <row r="61" spans="1:18" outlineLevel="1">
      <c r="A61" s="234" t="s">
        <v>327</v>
      </c>
      <c r="B61" s="236" t="s">
        <v>22</v>
      </c>
      <c r="C61" s="236" t="s">
        <v>338</v>
      </c>
      <c r="D61" s="236" t="s">
        <v>339</v>
      </c>
      <c r="E61" s="236" t="s">
        <v>340</v>
      </c>
      <c r="F61" s="236" t="s">
        <v>341</v>
      </c>
      <c r="G61" s="236" t="s">
        <v>205</v>
      </c>
      <c r="H61" s="236" t="s">
        <v>342</v>
      </c>
      <c r="K61"/>
      <c r="L61"/>
      <c r="M61"/>
      <c r="N61"/>
      <c r="O61"/>
      <c r="P61"/>
      <c r="Q61"/>
    </row>
    <row r="62" spans="1:18" outlineLevel="1">
      <c r="A62" s="231">
        <v>2.5</v>
      </c>
      <c r="B62" s="247">
        <v>1797.3849792480403</v>
      </c>
      <c r="C62" s="248">
        <v>0</v>
      </c>
      <c r="D62" s="248">
        <v>0.18713123808674903</v>
      </c>
      <c r="E62" s="248">
        <v>0</v>
      </c>
      <c r="F62" s="248">
        <v>4.7662787437729968E-3</v>
      </c>
      <c r="G62" s="248">
        <v>9.2863650061190111E-3</v>
      </c>
      <c r="H62" s="248">
        <v>0</v>
      </c>
      <c r="K62"/>
      <c r="L62"/>
      <c r="M62"/>
      <c r="N62"/>
      <c r="O62"/>
      <c r="P62"/>
      <c r="Q62"/>
    </row>
    <row r="63" spans="1:18" outlineLevel="1">
      <c r="A63" s="231">
        <v>5</v>
      </c>
      <c r="B63" s="247">
        <v>1001.8018722534171</v>
      </c>
      <c r="C63" s="248">
        <v>0</v>
      </c>
      <c r="D63" s="248">
        <v>0.15077359174819077</v>
      </c>
      <c r="E63" s="248">
        <v>0</v>
      </c>
      <c r="F63" s="248">
        <v>3.0972941859772592E-3</v>
      </c>
      <c r="G63" s="248">
        <v>5.1771924481727157E-3</v>
      </c>
      <c r="H63" s="248">
        <v>0</v>
      </c>
      <c r="K63"/>
      <c r="L63"/>
      <c r="M63"/>
      <c r="N63"/>
      <c r="O63"/>
      <c r="P63"/>
      <c r="Q63"/>
      <c r="R63"/>
    </row>
    <row r="64" spans="1:18" outlineLevel="1">
      <c r="A64" s="231">
        <v>10</v>
      </c>
      <c r="B64" s="247">
        <v>605.84076690673828</v>
      </c>
      <c r="C64" s="248">
        <v>0</v>
      </c>
      <c r="D64" s="248">
        <v>0.12965028054460936</v>
      </c>
      <c r="E64" s="248">
        <v>0</v>
      </c>
      <c r="F64" s="248">
        <v>2.1835119492834543E-3</v>
      </c>
      <c r="G64" s="248">
        <v>3.1320637499447869E-3</v>
      </c>
      <c r="H64" s="248">
        <v>0</v>
      </c>
      <c r="K64"/>
      <c r="L64"/>
      <c r="M64"/>
      <c r="N64"/>
      <c r="O64"/>
      <c r="P64"/>
      <c r="Q64"/>
    </row>
    <row r="65" spans="1:17" outlineLevel="1">
      <c r="A65" s="231">
        <v>15</v>
      </c>
      <c r="B65" s="247">
        <v>477.40262222290028</v>
      </c>
      <c r="C65" s="248">
        <v>0</v>
      </c>
      <c r="D65" s="248">
        <v>0.1169098317960786</v>
      </c>
      <c r="E65" s="248">
        <v>0</v>
      </c>
      <c r="F65" s="248">
        <v>1.7254398795216704E-3</v>
      </c>
      <c r="G65" s="248">
        <v>2.4686525284778279E-3</v>
      </c>
      <c r="H65" s="248">
        <v>0</v>
      </c>
      <c r="K65"/>
      <c r="L65"/>
      <c r="M65"/>
      <c r="N65"/>
      <c r="O65"/>
      <c r="P65"/>
      <c r="Q65"/>
    </row>
    <row r="66" spans="1:17" outlineLevel="1">
      <c r="A66" s="231">
        <v>20</v>
      </c>
      <c r="B66" s="247">
        <v>403.90144157409594</v>
      </c>
      <c r="C66" s="248">
        <v>0</v>
      </c>
      <c r="D66" s="248">
        <v>0.10766783786075937</v>
      </c>
      <c r="E66" s="248">
        <v>0</v>
      </c>
      <c r="F66" s="248">
        <v>1.4630175015781766E-3</v>
      </c>
      <c r="G66" s="248">
        <v>2.088843757519495E-3</v>
      </c>
      <c r="H66" s="248">
        <v>0</v>
      </c>
    </row>
    <row r="67" spans="1:17" outlineLevel="1">
      <c r="A67" s="231">
        <v>25</v>
      </c>
      <c r="B67" s="247">
        <v>359.20711898803683</v>
      </c>
      <c r="C67" s="248">
        <v>0</v>
      </c>
      <c r="D67" s="248">
        <v>0.10483856742106899</v>
      </c>
      <c r="E67" s="248">
        <v>0</v>
      </c>
      <c r="F67" s="248">
        <v>1.2396944977126597E-3</v>
      </c>
      <c r="G67" s="248">
        <v>1.8579324969323315E-3</v>
      </c>
      <c r="H67" s="248">
        <v>0</v>
      </c>
    </row>
    <row r="68" spans="1:17" outlineLevel="1">
      <c r="A68" s="231">
        <v>30</v>
      </c>
      <c r="B68" s="247">
        <v>325.59175109863259</v>
      </c>
      <c r="C68" s="248">
        <v>0</v>
      </c>
      <c r="D68" s="248">
        <v>9.921171883092908E-2</v>
      </c>
      <c r="E68" s="248">
        <v>0</v>
      </c>
      <c r="F68" s="248">
        <v>1.2164515786707833E-3</v>
      </c>
      <c r="G68" s="248">
        <v>1.6841999895404964E-3</v>
      </c>
      <c r="H68" s="248">
        <v>0</v>
      </c>
    </row>
    <row r="69" spans="1:17" outlineLevel="1">
      <c r="A69" s="231">
        <v>35</v>
      </c>
      <c r="B69" s="247">
        <v>309.98006057739218</v>
      </c>
      <c r="C69" s="248">
        <v>0</v>
      </c>
      <c r="D69" s="248">
        <v>9.8252993321764598E-2</v>
      </c>
      <c r="E69" s="248">
        <v>0</v>
      </c>
      <c r="F69" s="248">
        <v>1.1962159825884529E-3</v>
      </c>
      <c r="G69" s="248">
        <v>1.6035962762543901E-3</v>
      </c>
      <c r="H69" s="248">
        <v>0</v>
      </c>
    </row>
    <row r="70" spans="1:17" outlineLevel="1">
      <c r="A70" s="231">
        <v>40</v>
      </c>
      <c r="B70" s="247">
        <v>299.75800323486277</v>
      </c>
      <c r="C70" s="248">
        <v>0</v>
      </c>
      <c r="D70" s="248">
        <v>9.8156925419558852E-2</v>
      </c>
      <c r="E70" s="248">
        <v>0</v>
      </c>
      <c r="F70" s="248">
        <v>1.1795603292625836E-3</v>
      </c>
      <c r="G70" s="248">
        <v>1.5508387659792712E-3</v>
      </c>
      <c r="H70" s="248">
        <v>0</v>
      </c>
    </row>
    <row r="71" spans="1:17" outlineLevel="1">
      <c r="A71" s="231">
        <v>45</v>
      </c>
      <c r="B71" s="247">
        <v>291.93874931335398</v>
      </c>
      <c r="C71" s="248">
        <v>0</v>
      </c>
      <c r="D71" s="248">
        <v>9.8390279955466758E-2</v>
      </c>
      <c r="E71" s="248">
        <v>0</v>
      </c>
      <c r="F71" s="248">
        <v>1.1718321260900636E-3</v>
      </c>
      <c r="G71" s="248">
        <v>1.5104849953786424E-3</v>
      </c>
      <c r="H71" s="248">
        <v>0</v>
      </c>
    </row>
    <row r="72" spans="1:17" outlineLevel="1">
      <c r="A72" s="231">
        <v>50</v>
      </c>
      <c r="B72" s="247">
        <v>284.62018203735283</v>
      </c>
      <c r="C72" s="248">
        <v>0</v>
      </c>
      <c r="D72" s="248">
        <v>9.8698323021167447E-2</v>
      </c>
      <c r="E72" s="248">
        <v>0</v>
      </c>
      <c r="F72" s="248">
        <v>1.1550826715165357E-3</v>
      </c>
      <c r="G72" s="248">
        <v>1.4727056332048914E-3</v>
      </c>
      <c r="H72" s="248">
        <v>0</v>
      </c>
    </row>
    <row r="73" spans="1:17" outlineLevel="1">
      <c r="A73" s="231">
        <v>55</v>
      </c>
      <c r="B73" s="247">
        <v>279.10531425476057</v>
      </c>
      <c r="C73" s="248">
        <v>0</v>
      </c>
      <c r="D73" s="248">
        <v>9.9353442462017785E-2</v>
      </c>
      <c r="E73" s="248">
        <v>0</v>
      </c>
      <c r="F73" s="248">
        <v>1.1400284524825091E-3</v>
      </c>
      <c r="G73" s="248">
        <v>1.4442368701565959E-3</v>
      </c>
      <c r="H73" s="248">
        <v>0</v>
      </c>
    </row>
    <row r="74" spans="1:17" outlineLevel="1">
      <c r="A74" s="231">
        <v>60</v>
      </c>
      <c r="B74" s="247">
        <v>275.98899650573679</v>
      </c>
      <c r="C74" s="248">
        <v>0</v>
      </c>
      <c r="D74" s="248">
        <v>0.10064943245421859</v>
      </c>
      <c r="E74" s="248">
        <v>0</v>
      </c>
      <c r="F74" s="248">
        <v>1.1486267224540799E-3</v>
      </c>
      <c r="G74" s="248">
        <v>1.4281724797910972E-3</v>
      </c>
      <c r="H74" s="248">
        <v>0</v>
      </c>
    </row>
    <row r="75" spans="1:17" outlineLevel="1">
      <c r="A75" s="231">
        <v>65</v>
      </c>
      <c r="B75" s="247">
        <v>278.70862197875948</v>
      </c>
      <c r="C75" s="248">
        <v>0</v>
      </c>
      <c r="D75" s="248">
        <v>0.10478459743924855</v>
      </c>
      <c r="E75" s="248">
        <v>0</v>
      </c>
      <c r="F75" s="248">
        <v>1.230245435635877E-3</v>
      </c>
      <c r="G75" s="248">
        <v>1.4423112734220879E-3</v>
      </c>
      <c r="H75" s="248">
        <v>0</v>
      </c>
    </row>
    <row r="76" spans="1:17" outlineLevel="1">
      <c r="A76" s="231">
        <v>70</v>
      </c>
      <c r="B76" s="247">
        <v>288.51450347900339</v>
      </c>
      <c r="C76" s="248">
        <v>0</v>
      </c>
      <c r="D76" s="248">
        <v>0.1134681638579875</v>
      </c>
      <c r="E76" s="248">
        <v>0</v>
      </c>
      <c r="F76" s="248">
        <v>1.3879580395155216E-3</v>
      </c>
      <c r="G76" s="248">
        <v>1.4931137557141413E-3</v>
      </c>
      <c r="H76" s="248">
        <v>0</v>
      </c>
    </row>
    <row r="77" spans="1:17" outlineLevel="1">
      <c r="A77" s="231">
        <v>75</v>
      </c>
      <c r="B77" s="247">
        <v>304.45525360107376</v>
      </c>
      <c r="C77" s="248">
        <v>0</v>
      </c>
      <c r="D77" s="248">
        <v>0.12508115729357858</v>
      </c>
      <c r="E77" s="248">
        <v>0</v>
      </c>
      <c r="F77" s="248">
        <v>1.7134787488544115E-3</v>
      </c>
      <c r="G77" s="248">
        <v>1.5756449720356574E-3</v>
      </c>
      <c r="H77" s="248">
        <v>0</v>
      </c>
    </row>
    <row r="78" spans="1:17" outlineLevel="1"/>
    <row r="79" spans="1:17" outlineLevel="1">
      <c r="A79" s="231" t="s">
        <v>332</v>
      </c>
      <c r="B79" s="235">
        <v>2025</v>
      </c>
    </row>
    <row r="80" spans="1:17" outlineLevel="1">
      <c r="A80" s="231" t="s">
        <v>333</v>
      </c>
      <c r="B80" s="235" t="s">
        <v>334</v>
      </c>
    </row>
    <row r="81" spans="1:8" outlineLevel="1">
      <c r="A81" s="231" t="s">
        <v>335</v>
      </c>
      <c r="B81" s="235" t="s">
        <v>336</v>
      </c>
    </row>
    <row r="82" spans="1:8" outlineLevel="1">
      <c r="B82" s="407" t="s">
        <v>337</v>
      </c>
      <c r="C82" s="407"/>
      <c r="D82" s="407"/>
      <c r="E82" s="407"/>
      <c r="F82" s="407"/>
      <c r="G82" s="407"/>
      <c r="H82" s="407"/>
    </row>
    <row r="83" spans="1:8" outlineLevel="1">
      <c r="A83" s="234" t="s">
        <v>327</v>
      </c>
      <c r="B83" s="236" t="s">
        <v>22</v>
      </c>
      <c r="C83" s="236" t="s">
        <v>338</v>
      </c>
      <c r="D83" s="236" t="s">
        <v>339</v>
      </c>
      <c r="E83" s="236" t="s">
        <v>340</v>
      </c>
      <c r="F83" s="236" t="s">
        <v>341</v>
      </c>
      <c r="G83" s="236" t="s">
        <v>205</v>
      </c>
      <c r="H83" s="236" t="s">
        <v>342</v>
      </c>
    </row>
    <row r="84" spans="1:8" outlineLevel="1">
      <c r="A84" s="231">
        <v>2.5</v>
      </c>
      <c r="B84" s="247">
        <v>1644.1600036621028</v>
      </c>
      <c r="C84" s="248">
        <v>0</v>
      </c>
      <c r="D84" s="248">
        <v>9.8597443248053002E-2</v>
      </c>
      <c r="E84" s="248">
        <v>0</v>
      </c>
      <c r="F84" s="248">
        <v>4.8181728577674221E-3</v>
      </c>
      <c r="G84" s="248">
        <v>8.4946702700108255E-3</v>
      </c>
      <c r="H84" s="248">
        <v>0</v>
      </c>
    </row>
    <row r="85" spans="1:8" outlineLevel="1">
      <c r="A85" s="231">
        <v>5</v>
      </c>
      <c r="B85" s="247">
        <v>916.21549224853482</v>
      </c>
      <c r="C85" s="248">
        <v>0</v>
      </c>
      <c r="D85" s="248">
        <v>7.8158281962117562E-2</v>
      </c>
      <c r="E85" s="248">
        <v>0</v>
      </c>
      <c r="F85" s="248">
        <v>2.8873366204606988E-3</v>
      </c>
      <c r="G85" s="248">
        <v>4.7348924563266276E-3</v>
      </c>
      <c r="H85" s="248">
        <v>0</v>
      </c>
    </row>
    <row r="86" spans="1:8" outlineLevel="1">
      <c r="A86" s="231">
        <v>10</v>
      </c>
      <c r="B86" s="247">
        <v>553.94813537597622</v>
      </c>
      <c r="C86" s="248">
        <v>0</v>
      </c>
      <c r="D86" s="248">
        <v>6.6541317206940495E-2</v>
      </c>
      <c r="E86" s="248">
        <v>0</v>
      </c>
      <c r="F86" s="248">
        <v>1.8701537573519974E-3</v>
      </c>
      <c r="G86" s="248">
        <v>2.8637825162149918E-3</v>
      </c>
      <c r="H86" s="248">
        <v>0</v>
      </c>
    </row>
    <row r="87" spans="1:8" outlineLevel="1">
      <c r="A87" s="231">
        <v>15</v>
      </c>
      <c r="B87" s="247">
        <v>436.48874664306589</v>
      </c>
      <c r="C87" s="248">
        <v>0</v>
      </c>
      <c r="D87" s="248">
        <v>5.9964008240825574E-2</v>
      </c>
      <c r="E87" s="248">
        <v>0</v>
      </c>
      <c r="F87" s="248">
        <v>1.4309000750927197E-3</v>
      </c>
      <c r="G87" s="248">
        <v>2.2570825822185716E-3</v>
      </c>
      <c r="H87" s="248">
        <v>0</v>
      </c>
    </row>
    <row r="88" spans="1:8" outlineLevel="1">
      <c r="A88" s="231">
        <v>20</v>
      </c>
      <c r="B88" s="247">
        <v>369.44674682617131</v>
      </c>
      <c r="C88" s="248">
        <v>0</v>
      </c>
      <c r="D88" s="248">
        <v>5.4765821975180859E-2</v>
      </c>
      <c r="E88" s="248">
        <v>0</v>
      </c>
      <c r="F88" s="248">
        <v>1.1972447655921291E-3</v>
      </c>
      <c r="G88" s="248">
        <v>1.9106525433016876E-3</v>
      </c>
      <c r="H88" s="248">
        <v>0</v>
      </c>
    </row>
    <row r="89" spans="1:8" outlineLevel="1">
      <c r="A89" s="231">
        <v>25</v>
      </c>
      <c r="B89" s="247">
        <v>328.6212463378904</v>
      </c>
      <c r="C89" s="248">
        <v>0</v>
      </c>
      <c r="D89" s="248">
        <v>5.3100160360685177E-2</v>
      </c>
      <c r="E89" s="248">
        <v>0</v>
      </c>
      <c r="F89" s="248">
        <v>1.0402925217363179E-3</v>
      </c>
      <c r="G89" s="248">
        <v>1.6997287602862289E-3</v>
      </c>
      <c r="H89" s="248">
        <v>0</v>
      </c>
    </row>
    <row r="90" spans="1:8" outlineLevel="1">
      <c r="A90" s="231">
        <v>30</v>
      </c>
      <c r="B90" s="247">
        <v>297.88499832153275</v>
      </c>
      <c r="C90" s="248">
        <v>0</v>
      </c>
      <c r="D90" s="248">
        <v>5.0017928862473485E-2</v>
      </c>
      <c r="E90" s="248">
        <v>0</v>
      </c>
      <c r="F90" s="248">
        <v>9.8355566956342673E-4</v>
      </c>
      <c r="G90" s="248">
        <v>1.5408799663418863E-3</v>
      </c>
      <c r="H90" s="248">
        <v>0</v>
      </c>
    </row>
    <row r="91" spans="1:8" outlineLevel="1">
      <c r="A91" s="231">
        <v>35</v>
      </c>
      <c r="B91" s="247">
        <v>283.64768981933531</v>
      </c>
      <c r="C91" s="248">
        <v>0</v>
      </c>
      <c r="D91" s="248">
        <v>4.9417941735462864E-2</v>
      </c>
      <c r="E91" s="248">
        <v>0</v>
      </c>
      <c r="F91" s="248">
        <v>9.4586686861930242E-4</v>
      </c>
      <c r="G91" s="248">
        <v>1.4673712357762228E-3</v>
      </c>
      <c r="H91" s="248">
        <v>0</v>
      </c>
    </row>
    <row r="92" spans="1:8" outlineLevel="1">
      <c r="A92" s="231">
        <v>40</v>
      </c>
      <c r="B92" s="247">
        <v>274.3351192474359</v>
      </c>
      <c r="C92" s="248">
        <v>0</v>
      </c>
      <c r="D92" s="248">
        <v>4.9293115305445563E-2</v>
      </c>
      <c r="E92" s="248">
        <v>0</v>
      </c>
      <c r="F92" s="248">
        <v>9.1802782057470451E-4</v>
      </c>
      <c r="G92" s="248">
        <v>1.4193062525009658E-3</v>
      </c>
      <c r="H92" s="248">
        <v>0</v>
      </c>
    </row>
    <row r="93" spans="1:8" outlineLevel="1">
      <c r="A93" s="231">
        <v>45</v>
      </c>
      <c r="B93" s="247">
        <v>267.21024131774846</v>
      </c>
      <c r="C93" s="248">
        <v>0</v>
      </c>
      <c r="D93" s="248">
        <v>4.9343042011208989E-2</v>
      </c>
      <c r="E93" s="248">
        <v>0</v>
      </c>
      <c r="F93" s="248">
        <v>8.9975970522004705E-4</v>
      </c>
      <c r="G93" s="248">
        <v>1.3825381320202649E-3</v>
      </c>
      <c r="H93" s="248">
        <v>0</v>
      </c>
    </row>
    <row r="94" spans="1:8" outlineLevel="1">
      <c r="A94" s="231">
        <v>50</v>
      </c>
      <c r="B94" s="247">
        <v>260.53293991088816</v>
      </c>
      <c r="C94" s="248">
        <v>0</v>
      </c>
      <c r="D94" s="248">
        <v>4.9379624661554496E-2</v>
      </c>
      <c r="E94" s="248">
        <v>0</v>
      </c>
      <c r="F94" s="248">
        <v>8.7818599166666639E-4</v>
      </c>
      <c r="G94" s="248">
        <v>1.3480681300279641E-3</v>
      </c>
      <c r="H94" s="248">
        <v>0</v>
      </c>
    </row>
    <row r="95" spans="1:8" outlineLevel="1">
      <c r="A95" s="231">
        <v>55</v>
      </c>
      <c r="B95" s="247">
        <v>255.50643920898398</v>
      </c>
      <c r="C95" s="248">
        <v>0</v>
      </c>
      <c r="D95" s="248">
        <v>4.9598043443623299E-2</v>
      </c>
      <c r="E95" s="248">
        <v>0</v>
      </c>
      <c r="F95" s="248">
        <v>8.5790281684694253E-4</v>
      </c>
      <c r="G95" s="248">
        <v>1.3221231638453851E-3</v>
      </c>
      <c r="H95" s="248">
        <v>0</v>
      </c>
    </row>
    <row r="96" spans="1:8" outlineLevel="1">
      <c r="A96" s="231">
        <v>60</v>
      </c>
      <c r="B96" s="247">
        <v>252.67606163024846</v>
      </c>
      <c r="C96" s="248">
        <v>0</v>
      </c>
      <c r="D96" s="248">
        <v>5.0184613632026601E-2</v>
      </c>
      <c r="E96" s="248">
        <v>0</v>
      </c>
      <c r="F96" s="248">
        <v>8.5164880715637677E-4</v>
      </c>
      <c r="G96" s="248">
        <v>1.3075350070721452E-3</v>
      </c>
      <c r="H96" s="248">
        <v>0</v>
      </c>
    </row>
    <row r="97" spans="1:8" outlineLevel="1">
      <c r="A97" s="231">
        <v>65</v>
      </c>
      <c r="B97" s="247">
        <v>255.19675064086852</v>
      </c>
      <c r="C97" s="248">
        <v>0</v>
      </c>
      <c r="D97" s="248">
        <v>5.2242573783771895E-2</v>
      </c>
      <c r="E97" s="248">
        <v>0</v>
      </c>
      <c r="F97" s="248">
        <v>8.8796137509916391E-4</v>
      </c>
      <c r="G97" s="248">
        <v>1.3206374715082337E-3</v>
      </c>
      <c r="H97" s="248">
        <v>0</v>
      </c>
    </row>
    <row r="98" spans="1:8" outlineLevel="1">
      <c r="A98" s="231">
        <v>70</v>
      </c>
      <c r="B98" s="247">
        <v>264.22062683105418</v>
      </c>
      <c r="C98" s="248">
        <v>0</v>
      </c>
      <c r="D98" s="248">
        <v>5.6556534473969328E-2</v>
      </c>
      <c r="E98" s="248">
        <v>0</v>
      </c>
      <c r="F98" s="248">
        <v>9.6760846849974508E-4</v>
      </c>
      <c r="G98" s="248">
        <v>1.3673862413270351E-3</v>
      </c>
      <c r="H98" s="248">
        <v>0</v>
      </c>
    </row>
    <row r="99" spans="1:8" outlineLevel="1">
      <c r="A99" s="231">
        <v>75</v>
      </c>
      <c r="B99" s="247">
        <v>278.91299438476506</v>
      </c>
      <c r="C99" s="248">
        <v>0</v>
      </c>
      <c r="D99" s="248">
        <v>6.2399997328583083E-2</v>
      </c>
      <c r="E99" s="248">
        <v>0</v>
      </c>
      <c r="F99" s="248">
        <v>1.1354074151199679E-3</v>
      </c>
      <c r="G99" s="248">
        <v>1.4434500481002E-3</v>
      </c>
      <c r="H99" s="248">
        <v>0</v>
      </c>
    </row>
    <row r="100" spans="1:8" outlineLevel="1">
      <c r="B100" s="235"/>
      <c r="C100" s="235"/>
      <c r="D100" s="235"/>
      <c r="E100" s="235"/>
      <c r="F100" s="235"/>
      <c r="G100" s="235"/>
      <c r="H100" s="235"/>
    </row>
    <row r="101" spans="1:8" outlineLevel="1">
      <c r="A101" s="231" t="s">
        <v>332</v>
      </c>
      <c r="B101" s="235">
        <v>2030</v>
      </c>
    </row>
    <row r="102" spans="1:8" outlineLevel="1">
      <c r="A102" s="231" t="s">
        <v>333</v>
      </c>
      <c r="B102" s="235" t="s">
        <v>334</v>
      </c>
    </row>
    <row r="103" spans="1:8" outlineLevel="1">
      <c r="A103" s="231" t="s">
        <v>335</v>
      </c>
      <c r="B103" s="235" t="s">
        <v>336</v>
      </c>
    </row>
    <row r="104" spans="1:8" outlineLevel="1">
      <c r="B104" s="407" t="s">
        <v>337</v>
      </c>
      <c r="C104" s="407"/>
      <c r="D104" s="407"/>
      <c r="E104" s="407"/>
      <c r="F104" s="407"/>
      <c r="G104" s="407"/>
      <c r="H104" s="407"/>
    </row>
    <row r="105" spans="1:8" outlineLevel="1">
      <c r="A105" s="234" t="s">
        <v>327</v>
      </c>
      <c r="B105" s="236" t="s">
        <v>22</v>
      </c>
      <c r="C105" s="236" t="s">
        <v>338</v>
      </c>
      <c r="D105" s="236" t="s">
        <v>339</v>
      </c>
      <c r="E105" s="236" t="s">
        <v>340</v>
      </c>
      <c r="F105" s="236" t="s">
        <v>341</v>
      </c>
      <c r="G105" s="236" t="s">
        <v>205</v>
      </c>
      <c r="H105" s="236" t="s">
        <v>342</v>
      </c>
    </row>
    <row r="106" spans="1:8" outlineLevel="1">
      <c r="A106" s="231">
        <v>2.5</v>
      </c>
      <c r="B106" s="247">
        <v>1543.9974670410149</v>
      </c>
      <c r="C106" s="248">
        <v>0</v>
      </c>
      <c r="D106" s="248">
        <v>3.4833195866667652E-2</v>
      </c>
      <c r="E106" s="248">
        <v>0</v>
      </c>
      <c r="F106" s="248">
        <v>3.8383430801331997E-3</v>
      </c>
      <c r="G106" s="248">
        <v>7.9771897289901937E-3</v>
      </c>
      <c r="H106" s="248">
        <v>0</v>
      </c>
    </row>
    <row r="107" spans="1:8" outlineLevel="1">
      <c r="A107" s="231">
        <v>5</v>
      </c>
      <c r="B107" s="247">
        <v>860.17325592041004</v>
      </c>
      <c r="C107" s="248">
        <v>0</v>
      </c>
      <c r="D107" s="248">
        <v>3.0263007604474944E-2</v>
      </c>
      <c r="E107" s="248">
        <v>0</v>
      </c>
      <c r="F107" s="248">
        <v>2.3358604370287118E-3</v>
      </c>
      <c r="G107" s="248">
        <v>4.4452688307501332E-3</v>
      </c>
      <c r="H107" s="248">
        <v>0</v>
      </c>
    </row>
    <row r="108" spans="1:8" outlineLevel="1">
      <c r="A108" s="231">
        <v>10</v>
      </c>
      <c r="B108" s="247">
        <v>519.87612152099575</v>
      </c>
      <c r="C108" s="248">
        <v>0</v>
      </c>
      <c r="D108" s="248">
        <v>2.7241324152633674E-2</v>
      </c>
      <c r="E108" s="248">
        <v>0</v>
      </c>
      <c r="F108" s="248">
        <v>1.5367048039252019E-3</v>
      </c>
      <c r="G108" s="248">
        <v>2.6876393676502604E-3</v>
      </c>
      <c r="H108" s="248">
        <v>0</v>
      </c>
    </row>
    <row r="109" spans="1:8" outlineLevel="1">
      <c r="A109" s="231">
        <v>15</v>
      </c>
      <c r="B109" s="247">
        <v>409.57068824768066</v>
      </c>
      <c r="C109" s="248">
        <v>0</v>
      </c>
      <c r="D109" s="248">
        <v>2.4808338929886962E-2</v>
      </c>
      <c r="E109" s="248">
        <v>0</v>
      </c>
      <c r="F109" s="248">
        <v>1.1775733281069707E-3</v>
      </c>
      <c r="G109" s="248">
        <v>2.1178875176701647E-3</v>
      </c>
      <c r="H109" s="248">
        <v>0</v>
      </c>
    </row>
    <row r="110" spans="1:8" outlineLevel="1">
      <c r="A110" s="231">
        <v>20</v>
      </c>
      <c r="B110" s="247">
        <v>346.69525909423771</v>
      </c>
      <c r="C110" s="248">
        <v>0</v>
      </c>
      <c r="D110" s="248">
        <v>2.2837285594547983E-2</v>
      </c>
      <c r="E110" s="248">
        <v>0</v>
      </c>
      <c r="F110" s="248">
        <v>9.9356982013887101E-4</v>
      </c>
      <c r="G110" s="248">
        <v>1.7929862369783203E-3</v>
      </c>
      <c r="H110" s="248">
        <v>0</v>
      </c>
    </row>
    <row r="111" spans="1:8" outlineLevel="1">
      <c r="A111" s="231">
        <v>25</v>
      </c>
      <c r="B111" s="247">
        <v>308.38487625122042</v>
      </c>
      <c r="C111" s="248">
        <v>0</v>
      </c>
      <c r="D111" s="248">
        <v>2.2462689062734818E-2</v>
      </c>
      <c r="E111" s="248">
        <v>0</v>
      </c>
      <c r="F111" s="248">
        <v>8.5581719662286288E-4</v>
      </c>
      <c r="G111" s="248">
        <v>1.595063775312149E-3</v>
      </c>
      <c r="H111" s="248">
        <v>0</v>
      </c>
    </row>
    <row r="112" spans="1:8" outlineLevel="1">
      <c r="A112" s="231">
        <v>30</v>
      </c>
      <c r="B112" s="247">
        <v>279.54263305663994</v>
      </c>
      <c r="C112" s="248">
        <v>0</v>
      </c>
      <c r="D112" s="248">
        <v>2.1437157813089386E-2</v>
      </c>
      <c r="E112" s="248">
        <v>0</v>
      </c>
      <c r="F112" s="248">
        <v>8.1760045503642481E-4</v>
      </c>
      <c r="G112" s="248">
        <v>1.4460012462222901E-3</v>
      </c>
      <c r="H112" s="248">
        <v>0</v>
      </c>
    </row>
    <row r="113" spans="1:8" outlineLevel="1">
      <c r="A113" s="231">
        <v>35</v>
      </c>
      <c r="B113" s="247">
        <v>266.20375633239701</v>
      </c>
      <c r="C113" s="248">
        <v>0</v>
      </c>
      <c r="D113" s="248">
        <v>2.158558827975196E-2</v>
      </c>
      <c r="E113" s="248">
        <v>0</v>
      </c>
      <c r="F113" s="248">
        <v>7.7853730681453964E-4</v>
      </c>
      <c r="G113" s="248">
        <v>1.377129381580737E-3</v>
      </c>
      <c r="H113" s="248">
        <v>0</v>
      </c>
    </row>
    <row r="114" spans="1:8" outlineLevel="1">
      <c r="A114" s="231">
        <v>40</v>
      </c>
      <c r="B114" s="247">
        <v>257.48349761962857</v>
      </c>
      <c r="C114" s="248">
        <v>0</v>
      </c>
      <c r="D114" s="248">
        <v>2.1870077843889366E-2</v>
      </c>
      <c r="E114" s="248">
        <v>0</v>
      </c>
      <c r="F114" s="248">
        <v>7.4693523697532999E-4</v>
      </c>
      <c r="G114" s="248">
        <v>1.332124389591621E-3</v>
      </c>
      <c r="H114" s="248">
        <v>0</v>
      </c>
    </row>
    <row r="115" spans="1:8" outlineLevel="1">
      <c r="A115" s="231">
        <v>45</v>
      </c>
      <c r="B115" s="247">
        <v>250.81112575530972</v>
      </c>
      <c r="C115" s="248">
        <v>0</v>
      </c>
      <c r="D115" s="248">
        <v>2.2159120709883219E-2</v>
      </c>
      <c r="E115" s="248">
        <v>0</v>
      </c>
      <c r="F115" s="248">
        <v>7.2605642176881539E-4</v>
      </c>
      <c r="G115" s="248">
        <v>1.297689981583967E-3</v>
      </c>
      <c r="H115" s="248">
        <v>0</v>
      </c>
    </row>
    <row r="116" spans="1:8" outlineLevel="1">
      <c r="A116" s="231">
        <v>50</v>
      </c>
      <c r="B116" s="247">
        <v>244.55305576324423</v>
      </c>
      <c r="C116" s="248">
        <v>0</v>
      </c>
      <c r="D116" s="248">
        <v>2.2352028264510423E-2</v>
      </c>
      <c r="E116" s="248">
        <v>0</v>
      </c>
      <c r="F116" s="248">
        <v>7.0698474289087915E-4</v>
      </c>
      <c r="G116" s="248">
        <v>1.26538626500405E-3</v>
      </c>
      <c r="H116" s="248">
        <v>0</v>
      </c>
    </row>
    <row r="117" spans="1:8" outlineLevel="1">
      <c r="A117" s="231">
        <v>55</v>
      </c>
      <c r="B117" s="247">
        <v>239.84143638610783</v>
      </c>
      <c r="C117" s="248">
        <v>0</v>
      </c>
      <c r="D117" s="248">
        <v>2.257383102546837E-2</v>
      </c>
      <c r="E117" s="248">
        <v>0</v>
      </c>
      <c r="F117" s="248">
        <v>6.917220559330391E-4</v>
      </c>
      <c r="G117" s="248">
        <v>1.2410650015226518E-3</v>
      </c>
      <c r="H117" s="248">
        <v>0</v>
      </c>
    </row>
    <row r="118" spans="1:8" outlineLevel="1">
      <c r="A118" s="231">
        <v>60</v>
      </c>
      <c r="B118" s="247">
        <v>237.19143676757758</v>
      </c>
      <c r="C118" s="248">
        <v>0</v>
      </c>
      <c r="D118" s="248">
        <v>2.2952383507739399E-2</v>
      </c>
      <c r="E118" s="248">
        <v>0</v>
      </c>
      <c r="F118" s="248">
        <v>6.8862435097116629E-4</v>
      </c>
      <c r="G118" s="248">
        <v>1.2274043619981937E-3</v>
      </c>
      <c r="H118" s="248">
        <v>0</v>
      </c>
    </row>
    <row r="119" spans="1:8" outlineLevel="1">
      <c r="A119" s="231">
        <v>65</v>
      </c>
      <c r="B119" s="247">
        <v>239.566751480102</v>
      </c>
      <c r="C119" s="248">
        <v>0</v>
      </c>
      <c r="D119" s="248">
        <v>2.3996803782523533E-2</v>
      </c>
      <c r="E119" s="248">
        <v>0</v>
      </c>
      <c r="F119" s="248">
        <v>7.2427569739374651E-4</v>
      </c>
      <c r="G119" s="248">
        <v>1.239751276443705E-3</v>
      </c>
      <c r="H119" s="248">
        <v>0</v>
      </c>
    </row>
    <row r="120" spans="1:8" outlineLevel="1">
      <c r="A120" s="231">
        <v>70</v>
      </c>
      <c r="B120" s="247">
        <v>248.04337310790976</v>
      </c>
      <c r="C120" s="248">
        <v>0</v>
      </c>
      <c r="D120" s="248">
        <v>2.5947872579834531E-2</v>
      </c>
      <c r="E120" s="248">
        <v>0</v>
      </c>
      <c r="F120" s="248">
        <v>8.0675781947547669E-4</v>
      </c>
      <c r="G120" s="248">
        <v>1.2836687383241886E-3</v>
      </c>
      <c r="H120" s="248">
        <v>0</v>
      </c>
    </row>
    <row r="121" spans="1:8" outlineLevel="1">
      <c r="A121" s="231">
        <v>75</v>
      </c>
      <c r="B121" s="247">
        <v>261.83874511718705</v>
      </c>
      <c r="C121" s="248">
        <v>0</v>
      </c>
      <c r="D121" s="248">
        <v>2.8637755249945916E-2</v>
      </c>
      <c r="E121" s="248">
        <v>0</v>
      </c>
      <c r="F121" s="248">
        <v>9.8361115203715339E-4</v>
      </c>
      <c r="G121" s="248">
        <v>1.3550925359595472E-3</v>
      </c>
      <c r="H121" s="248">
        <v>0</v>
      </c>
    </row>
    <row r="122" spans="1:8" outlineLevel="1">
      <c r="B122" s="235"/>
      <c r="C122" s="235"/>
      <c r="D122" s="235"/>
      <c r="E122" s="235"/>
      <c r="F122" s="235"/>
      <c r="G122" s="235"/>
      <c r="H122" s="235"/>
    </row>
    <row r="123" spans="1:8" outlineLevel="1">
      <c r="A123" s="231" t="s">
        <v>332</v>
      </c>
      <c r="B123" s="235">
        <v>2040</v>
      </c>
    </row>
    <row r="124" spans="1:8" outlineLevel="1">
      <c r="A124" s="231" t="s">
        <v>333</v>
      </c>
      <c r="B124" s="235" t="s">
        <v>334</v>
      </c>
    </row>
    <row r="125" spans="1:8" outlineLevel="1">
      <c r="A125" s="231" t="s">
        <v>335</v>
      </c>
      <c r="B125" s="235" t="s">
        <v>336</v>
      </c>
    </row>
    <row r="126" spans="1:8" outlineLevel="1">
      <c r="B126" s="407" t="s">
        <v>337</v>
      </c>
      <c r="C126" s="407"/>
      <c r="D126" s="407"/>
      <c r="E126" s="407"/>
      <c r="F126" s="407"/>
      <c r="G126" s="407"/>
      <c r="H126" s="407"/>
    </row>
    <row r="127" spans="1:8" outlineLevel="1">
      <c r="A127" s="234" t="s">
        <v>327</v>
      </c>
      <c r="B127" s="236" t="s">
        <v>22</v>
      </c>
      <c r="C127" s="236" t="s">
        <v>338</v>
      </c>
      <c r="D127" s="236" t="s">
        <v>339</v>
      </c>
      <c r="E127" s="236" t="s">
        <v>340</v>
      </c>
      <c r="F127" s="236" t="s">
        <v>341</v>
      </c>
      <c r="G127" s="236" t="s">
        <v>205</v>
      </c>
      <c r="H127" s="236" t="s">
        <v>342</v>
      </c>
    </row>
    <row r="128" spans="1:8" outlineLevel="1">
      <c r="A128" s="231">
        <v>2.5</v>
      </c>
      <c r="B128" s="247">
        <v>1430.5749511718702</v>
      </c>
      <c r="C128" s="248">
        <v>0</v>
      </c>
      <c r="D128" s="248">
        <v>6.2384995923707503E-3</v>
      </c>
      <c r="E128" s="248">
        <v>0</v>
      </c>
      <c r="F128" s="248">
        <v>3.0147263555591018E-3</v>
      </c>
      <c r="G128" s="248">
        <v>7.3910594801418379E-3</v>
      </c>
      <c r="H128" s="248">
        <v>0</v>
      </c>
    </row>
    <row r="129" spans="1:8" outlineLevel="1">
      <c r="A129" s="231">
        <v>5</v>
      </c>
      <c r="B129" s="247">
        <v>796.52899169921852</v>
      </c>
      <c r="C129" s="248">
        <v>0</v>
      </c>
      <c r="D129" s="248">
        <v>5.4187354151533414E-3</v>
      </c>
      <c r="E129" s="248">
        <v>0</v>
      </c>
      <c r="F129" s="248">
        <v>1.7542047572760549E-3</v>
      </c>
      <c r="G129" s="248">
        <v>4.1162961861118622E-3</v>
      </c>
      <c r="H129" s="248">
        <v>0</v>
      </c>
    </row>
    <row r="130" spans="1:8" outlineLevel="1">
      <c r="A130" s="231">
        <v>10</v>
      </c>
      <c r="B130" s="247">
        <v>481.03300476074185</v>
      </c>
      <c r="C130" s="248">
        <v>0</v>
      </c>
      <c r="D130" s="248">
        <v>4.8769526347092178E-3</v>
      </c>
      <c r="E130" s="248">
        <v>0</v>
      </c>
      <c r="F130" s="248">
        <v>1.0948335502689558E-3</v>
      </c>
      <c r="G130" s="248">
        <v>2.486792538547888E-3</v>
      </c>
      <c r="H130" s="248">
        <v>0</v>
      </c>
    </row>
    <row r="131" spans="1:8" outlineLevel="1">
      <c r="A131" s="231">
        <v>15</v>
      </c>
      <c r="B131" s="247">
        <v>378.82411956787087</v>
      </c>
      <c r="C131" s="248">
        <v>0</v>
      </c>
      <c r="D131" s="248">
        <v>4.4410685227393937E-3</v>
      </c>
      <c r="E131" s="248">
        <v>0</v>
      </c>
      <c r="F131" s="248">
        <v>8.1869254302091316E-4</v>
      </c>
      <c r="G131" s="248">
        <v>1.9588762515922991E-3</v>
      </c>
      <c r="H131" s="248">
        <v>0</v>
      </c>
    </row>
    <row r="132" spans="1:8" outlineLevel="1">
      <c r="A132" s="231">
        <v>20</v>
      </c>
      <c r="B132" s="247">
        <v>320.71274185180641</v>
      </c>
      <c r="C132" s="248">
        <v>0</v>
      </c>
      <c r="D132" s="248">
        <v>4.0881238077030667E-3</v>
      </c>
      <c r="E132" s="248">
        <v>0</v>
      </c>
      <c r="F132" s="248">
        <v>6.9049259369080281E-4</v>
      </c>
      <c r="G132" s="248">
        <v>1.6585912671871449E-3</v>
      </c>
      <c r="H132" s="248">
        <v>0</v>
      </c>
    </row>
    <row r="133" spans="1:8" outlineLevel="1">
      <c r="A133" s="231">
        <v>25</v>
      </c>
      <c r="B133" s="247">
        <v>285.26812362670881</v>
      </c>
      <c r="C133" s="248">
        <v>0</v>
      </c>
      <c r="D133" s="248">
        <v>4.0210289368385315E-3</v>
      </c>
      <c r="E133" s="248">
        <v>0</v>
      </c>
      <c r="F133" s="248">
        <v>6.1588232483700094E-4</v>
      </c>
      <c r="G133" s="248">
        <v>1.4754762669326672E-3</v>
      </c>
      <c r="H133" s="248">
        <v>0</v>
      </c>
    </row>
    <row r="134" spans="1:8" outlineLevel="1">
      <c r="A134" s="231">
        <v>30</v>
      </c>
      <c r="B134" s="247">
        <v>258.585000991821</v>
      </c>
      <c r="C134" s="248">
        <v>0</v>
      </c>
      <c r="D134" s="248">
        <v>3.8374297121457315E-3</v>
      </c>
      <c r="E134" s="248">
        <v>0</v>
      </c>
      <c r="F134" s="248">
        <v>5.7989674436953183E-4</v>
      </c>
      <c r="G134" s="248">
        <v>1.3375737617025113E-3</v>
      </c>
      <c r="H134" s="248">
        <v>0</v>
      </c>
    </row>
    <row r="135" spans="1:8" outlineLevel="1">
      <c r="A135" s="231">
        <v>35</v>
      </c>
      <c r="B135" s="247">
        <v>246.28711795806842</v>
      </c>
      <c r="C135" s="248">
        <v>0</v>
      </c>
      <c r="D135" s="248">
        <v>3.8639954996515491E-3</v>
      </c>
      <c r="E135" s="248">
        <v>0</v>
      </c>
      <c r="F135" s="248">
        <v>5.600740913393994E-4</v>
      </c>
      <c r="G135" s="248">
        <v>1.2740818638121677E-3</v>
      </c>
      <c r="H135" s="248">
        <v>0</v>
      </c>
    </row>
    <row r="136" spans="1:8" outlineLevel="1">
      <c r="A136" s="231">
        <v>40</v>
      </c>
      <c r="B136" s="247">
        <v>238.25818824767998</v>
      </c>
      <c r="C136" s="248">
        <v>0</v>
      </c>
      <c r="D136" s="248">
        <v>3.914920348670135E-3</v>
      </c>
      <c r="E136" s="248">
        <v>0</v>
      </c>
      <c r="F136" s="248">
        <v>5.4627237085469221E-4</v>
      </c>
      <c r="G136" s="248">
        <v>1.2326450087130037E-3</v>
      </c>
      <c r="H136" s="248">
        <v>0</v>
      </c>
    </row>
    <row r="137" spans="1:8" outlineLevel="1">
      <c r="A137" s="231">
        <v>45</v>
      </c>
      <c r="B137" s="247">
        <v>232.11312580108591</v>
      </c>
      <c r="C137" s="248">
        <v>0</v>
      </c>
      <c r="D137" s="248">
        <v>3.9666595845284629E-3</v>
      </c>
      <c r="E137" s="248">
        <v>0</v>
      </c>
      <c r="F137" s="248">
        <v>5.3733934163346757E-4</v>
      </c>
      <c r="G137" s="248">
        <v>1.2009349957224865E-3</v>
      </c>
      <c r="H137" s="248">
        <v>0</v>
      </c>
    </row>
    <row r="138" spans="1:8" outlineLevel="1">
      <c r="A138" s="231">
        <v>50</v>
      </c>
      <c r="B138" s="247">
        <v>226.33768558502175</v>
      </c>
      <c r="C138" s="248">
        <v>0</v>
      </c>
      <c r="D138" s="248">
        <v>4.0011916272728581E-3</v>
      </c>
      <c r="E138" s="248">
        <v>0</v>
      </c>
      <c r="F138" s="248">
        <v>5.2592827208286248E-4</v>
      </c>
      <c r="G138" s="248">
        <v>1.1711200277204593E-3</v>
      </c>
      <c r="H138" s="248">
        <v>0</v>
      </c>
    </row>
    <row r="139" spans="1:8" outlineLevel="1">
      <c r="A139" s="231">
        <v>55</v>
      </c>
      <c r="B139" s="247">
        <v>221.98925113677942</v>
      </c>
      <c r="C139" s="248">
        <v>0</v>
      </c>
      <c r="D139" s="248">
        <v>4.0408957005100251E-3</v>
      </c>
      <c r="E139" s="248">
        <v>0</v>
      </c>
      <c r="F139" s="248">
        <v>5.156892870559187E-4</v>
      </c>
      <c r="G139" s="248">
        <v>1.1486787552712455E-3</v>
      </c>
      <c r="H139" s="248">
        <v>0</v>
      </c>
    </row>
    <row r="140" spans="1:8" outlineLevel="1">
      <c r="A140" s="231">
        <v>60</v>
      </c>
      <c r="B140" s="247">
        <v>219.54924583435016</v>
      </c>
      <c r="C140" s="248">
        <v>0</v>
      </c>
      <c r="D140" s="248">
        <v>4.1086599717639052E-3</v>
      </c>
      <c r="E140" s="248">
        <v>0</v>
      </c>
      <c r="F140" s="248">
        <v>5.1323296506211428E-4</v>
      </c>
      <c r="G140" s="248">
        <v>1.1360987555235548E-3</v>
      </c>
      <c r="H140" s="248">
        <v>0</v>
      </c>
    </row>
    <row r="141" spans="1:8" outlineLevel="1">
      <c r="A141" s="231">
        <v>65</v>
      </c>
      <c r="B141" s="247">
        <v>221.76262474060016</v>
      </c>
      <c r="C141" s="248">
        <v>0</v>
      </c>
      <c r="D141" s="248">
        <v>4.2956151769804043E-3</v>
      </c>
      <c r="E141" s="248">
        <v>0</v>
      </c>
      <c r="F141" s="248">
        <v>5.3647075375806577E-4</v>
      </c>
      <c r="G141" s="248">
        <v>1.1476062500150824E-3</v>
      </c>
      <c r="H141" s="248">
        <v>0</v>
      </c>
    </row>
    <row r="142" spans="1:8" outlineLevel="1">
      <c r="A142" s="231">
        <v>70</v>
      </c>
      <c r="B142" s="247">
        <v>229.61312294006285</v>
      </c>
      <c r="C142" s="248">
        <v>0</v>
      </c>
      <c r="D142" s="248">
        <v>4.644870484833411E-3</v>
      </c>
      <c r="E142" s="248">
        <v>0</v>
      </c>
      <c r="F142" s="248">
        <v>5.906514670925815E-4</v>
      </c>
      <c r="G142" s="248">
        <v>1.1882787366630475E-3</v>
      </c>
      <c r="H142" s="248">
        <v>0</v>
      </c>
    </row>
    <row r="143" spans="1:8" outlineLevel="1">
      <c r="A143" s="231">
        <v>75</v>
      </c>
      <c r="B143" s="247">
        <v>242.38449478149357</v>
      </c>
      <c r="C143" s="248">
        <v>0</v>
      </c>
      <c r="D143" s="248">
        <v>5.1263752501968692E-3</v>
      </c>
      <c r="E143" s="248">
        <v>0</v>
      </c>
      <c r="F143" s="248">
        <v>7.0359850587919828E-4</v>
      </c>
      <c r="G143" s="248">
        <v>1.2543975317385E-3</v>
      </c>
      <c r="H143" s="248">
        <v>0</v>
      </c>
    </row>
    <row r="144" spans="1:8" outlineLevel="1"/>
    <row r="145" spans="1:8" outlineLevel="1">
      <c r="A145" s="231" t="s">
        <v>332</v>
      </c>
      <c r="B145" s="235">
        <v>2050</v>
      </c>
    </row>
    <row r="146" spans="1:8" outlineLevel="1">
      <c r="A146" s="231" t="s">
        <v>333</v>
      </c>
      <c r="B146" s="235" t="s">
        <v>334</v>
      </c>
    </row>
    <row r="147" spans="1:8" outlineLevel="1">
      <c r="A147" s="231" t="s">
        <v>335</v>
      </c>
      <c r="B147" s="235" t="s">
        <v>336</v>
      </c>
    </row>
    <row r="148" spans="1:8" outlineLevel="1">
      <c r="B148" s="407" t="s">
        <v>337</v>
      </c>
      <c r="C148" s="407"/>
      <c r="D148" s="407"/>
      <c r="E148" s="407"/>
      <c r="F148" s="407"/>
      <c r="G148" s="407"/>
      <c r="H148" s="407"/>
    </row>
    <row r="149" spans="1:8" outlineLevel="1">
      <c r="A149" s="234" t="s">
        <v>327</v>
      </c>
      <c r="B149" s="236" t="s">
        <v>22</v>
      </c>
      <c r="C149" s="236" t="s">
        <v>338</v>
      </c>
      <c r="D149" s="236" t="s">
        <v>339</v>
      </c>
      <c r="E149" s="236" t="s">
        <v>340</v>
      </c>
      <c r="F149" s="236" t="s">
        <v>341</v>
      </c>
      <c r="G149" s="236" t="s">
        <v>205</v>
      </c>
      <c r="H149" s="236" t="s">
        <v>342</v>
      </c>
    </row>
    <row r="150" spans="1:8" outlineLevel="1">
      <c r="A150" s="231">
        <v>2.5</v>
      </c>
      <c r="B150" s="247">
        <v>1392.4075012206977</v>
      </c>
      <c r="C150" s="248">
        <v>0</v>
      </c>
      <c r="D150" s="248">
        <v>3.6904601707261602E-3</v>
      </c>
      <c r="E150" s="248">
        <v>0</v>
      </c>
      <c r="F150" s="248">
        <v>2.6760006312542819E-3</v>
      </c>
      <c r="G150" s="248">
        <v>7.19381752423942E-3</v>
      </c>
      <c r="H150" s="248">
        <v>0</v>
      </c>
    </row>
    <row r="151" spans="1:8" outlineLevel="1">
      <c r="A151" s="231">
        <v>5</v>
      </c>
      <c r="B151" s="247">
        <v>775.27362060546841</v>
      </c>
      <c r="C151" s="248">
        <v>0</v>
      </c>
      <c r="D151" s="248">
        <v>3.2038147216244513E-3</v>
      </c>
      <c r="E151" s="248">
        <v>0</v>
      </c>
      <c r="F151" s="248">
        <v>1.5571092412756098E-3</v>
      </c>
      <c r="G151" s="248">
        <v>4.0064187487587281E-3</v>
      </c>
      <c r="H151" s="248">
        <v>0</v>
      </c>
    </row>
    <row r="152" spans="1:8" outlineLevel="1">
      <c r="A152" s="231">
        <v>10</v>
      </c>
      <c r="B152" s="247">
        <v>468.19187164306595</v>
      </c>
      <c r="C152" s="248">
        <v>0</v>
      </c>
      <c r="D152" s="248">
        <v>2.8825124910829532E-3</v>
      </c>
      <c r="E152" s="248">
        <v>0</v>
      </c>
      <c r="F152" s="248">
        <v>9.7182223140634635E-4</v>
      </c>
      <c r="G152" s="248">
        <v>2.4203874636441443E-3</v>
      </c>
      <c r="H152" s="248">
        <v>0</v>
      </c>
    </row>
    <row r="153" spans="1:8" outlineLevel="1">
      <c r="A153" s="231">
        <v>15</v>
      </c>
      <c r="B153" s="247">
        <v>368.70912551879843</v>
      </c>
      <c r="C153" s="248">
        <v>0</v>
      </c>
      <c r="D153" s="248">
        <v>2.6244699809003769E-3</v>
      </c>
      <c r="E153" s="248">
        <v>0</v>
      </c>
      <c r="F153" s="248">
        <v>7.2670626315129668E-4</v>
      </c>
      <c r="G153" s="248">
        <v>1.9065562664763948E-3</v>
      </c>
      <c r="H153" s="248">
        <v>0</v>
      </c>
    </row>
    <row r="154" spans="1:8" outlineLevel="1">
      <c r="A154" s="231">
        <v>20</v>
      </c>
      <c r="B154" s="247">
        <v>312.14787292480412</v>
      </c>
      <c r="C154" s="248">
        <v>0</v>
      </c>
      <c r="D154" s="248">
        <v>2.4157641183890615E-3</v>
      </c>
      <c r="E154" s="248">
        <v>0</v>
      </c>
      <c r="F154" s="248">
        <v>6.1291062326062913E-4</v>
      </c>
      <c r="G154" s="248">
        <v>1.6142900276463438E-3</v>
      </c>
      <c r="H154" s="248">
        <v>0</v>
      </c>
    </row>
    <row r="155" spans="1:8" outlineLevel="1">
      <c r="A155" s="231">
        <v>25</v>
      </c>
      <c r="B155" s="247">
        <v>277.64899444580044</v>
      </c>
      <c r="C155" s="248">
        <v>0</v>
      </c>
      <c r="D155" s="248">
        <v>2.3760653715259017E-3</v>
      </c>
      <c r="E155" s="248">
        <v>0</v>
      </c>
      <c r="F155" s="248">
        <v>5.4668250479039454E-4</v>
      </c>
      <c r="G155" s="248">
        <v>1.436058752005915E-3</v>
      </c>
      <c r="H155" s="248">
        <v>0</v>
      </c>
    </row>
    <row r="156" spans="1:8" outlineLevel="1">
      <c r="A156" s="231">
        <v>30</v>
      </c>
      <c r="B156" s="247">
        <v>251.67824935913035</v>
      </c>
      <c r="C156" s="248">
        <v>0</v>
      </c>
      <c r="D156" s="248">
        <v>2.2675481849701007E-3</v>
      </c>
      <c r="E156" s="248">
        <v>0</v>
      </c>
      <c r="F156" s="248">
        <v>5.1474108531124265E-4</v>
      </c>
      <c r="G156" s="248">
        <v>1.3018387398915324E-3</v>
      </c>
      <c r="H156" s="248">
        <v>0</v>
      </c>
    </row>
    <row r="157" spans="1:8" outlineLevel="1">
      <c r="A157" s="231">
        <v>35</v>
      </c>
      <c r="B157" s="247">
        <v>239.7080631256099</v>
      </c>
      <c r="C157" s="248">
        <v>0</v>
      </c>
      <c r="D157" s="248">
        <v>2.2832394297118675E-3</v>
      </c>
      <c r="E157" s="248">
        <v>0</v>
      </c>
      <c r="F157" s="248">
        <v>4.9714594243255186E-4</v>
      </c>
      <c r="G157" s="248">
        <v>1.2400393898133136E-3</v>
      </c>
      <c r="H157" s="248">
        <v>0</v>
      </c>
    </row>
    <row r="158" spans="1:8" outlineLevel="1">
      <c r="A158" s="231">
        <v>40</v>
      </c>
      <c r="B158" s="247">
        <v>231.89312458038282</v>
      </c>
      <c r="C158" s="248">
        <v>0</v>
      </c>
      <c r="D158" s="248">
        <v>2.3133294245396537E-3</v>
      </c>
      <c r="E158" s="248">
        <v>0</v>
      </c>
      <c r="F158" s="248">
        <v>4.8489514568927835E-4</v>
      </c>
      <c r="G158" s="248">
        <v>1.199708123749582E-3</v>
      </c>
      <c r="H158" s="248">
        <v>0</v>
      </c>
    </row>
    <row r="159" spans="1:8" outlineLevel="1">
      <c r="A159" s="231">
        <v>45</v>
      </c>
      <c r="B159" s="247">
        <v>225.91162204742366</v>
      </c>
      <c r="C159" s="248">
        <v>0</v>
      </c>
      <c r="D159" s="248">
        <v>2.343901252812584E-3</v>
      </c>
      <c r="E159" s="248">
        <v>0</v>
      </c>
      <c r="F159" s="248">
        <v>4.7696572684685612E-4</v>
      </c>
      <c r="G159" s="248">
        <v>1.1688443701132142E-3</v>
      </c>
      <c r="H159" s="248">
        <v>0</v>
      </c>
    </row>
    <row r="160" spans="1:8" outlineLevel="1">
      <c r="A160" s="231">
        <v>50</v>
      </c>
      <c r="B160" s="247">
        <v>220.29018592834444</v>
      </c>
      <c r="C160" s="248">
        <v>0</v>
      </c>
      <c r="D160" s="248">
        <v>2.3643077248975946E-3</v>
      </c>
      <c r="E160" s="248">
        <v>0</v>
      </c>
      <c r="F160" s="248">
        <v>4.668363003190732E-4</v>
      </c>
      <c r="G160" s="248">
        <v>1.1398262577131347E-3</v>
      </c>
      <c r="H160" s="248">
        <v>0</v>
      </c>
    </row>
    <row r="161" spans="1:8" outlineLevel="1">
      <c r="A161" s="231">
        <v>55</v>
      </c>
      <c r="B161" s="247">
        <v>216.05724906921324</v>
      </c>
      <c r="C161" s="248">
        <v>0</v>
      </c>
      <c r="D161" s="248">
        <v>2.3877676748447194E-3</v>
      </c>
      <c r="E161" s="248">
        <v>0</v>
      </c>
      <c r="F161" s="248">
        <v>4.577491170181246E-4</v>
      </c>
      <c r="G161" s="248">
        <v>1.1179812572663609E-3</v>
      </c>
      <c r="H161" s="248">
        <v>0</v>
      </c>
    </row>
    <row r="162" spans="1:8" outlineLevel="1">
      <c r="A162" s="231">
        <v>60</v>
      </c>
      <c r="B162" s="247">
        <v>213.68231391906707</v>
      </c>
      <c r="C162" s="248">
        <v>0</v>
      </c>
      <c r="D162" s="248">
        <v>2.4278086674938107E-3</v>
      </c>
      <c r="E162" s="248">
        <v>0</v>
      </c>
      <c r="F162" s="248">
        <v>4.5556849573813435E-4</v>
      </c>
      <c r="G162" s="248">
        <v>1.1057368828915038E-3</v>
      </c>
      <c r="H162" s="248">
        <v>0</v>
      </c>
    </row>
    <row r="163" spans="1:8" outlineLevel="1">
      <c r="A163" s="231">
        <v>65</v>
      </c>
      <c r="B163" s="247">
        <v>215.83637237548777</v>
      </c>
      <c r="C163" s="248">
        <v>0</v>
      </c>
      <c r="D163" s="248">
        <v>2.5382796432706902E-3</v>
      </c>
      <c r="E163" s="248">
        <v>0</v>
      </c>
      <c r="F163" s="248">
        <v>4.761941676179043E-4</v>
      </c>
      <c r="G163" s="248">
        <v>1.1169312347192252E-3</v>
      </c>
      <c r="H163" s="248">
        <v>0</v>
      </c>
    </row>
    <row r="164" spans="1:8" outlineLevel="1">
      <c r="A164" s="231">
        <v>70</v>
      </c>
      <c r="B164" s="247">
        <v>223.47712898254335</v>
      </c>
      <c r="C164" s="248">
        <v>0</v>
      </c>
      <c r="D164" s="248">
        <v>2.744658532407128E-3</v>
      </c>
      <c r="E164" s="248">
        <v>0</v>
      </c>
      <c r="F164" s="248">
        <v>5.2428863313025203E-4</v>
      </c>
      <c r="G164" s="248">
        <v>1.1565175227588012E-3</v>
      </c>
      <c r="H164" s="248">
        <v>0</v>
      </c>
    </row>
    <row r="165" spans="1:8" outlineLevel="1">
      <c r="A165" s="231">
        <v>75</v>
      </c>
      <c r="B165" s="247">
        <v>235.90700149536104</v>
      </c>
      <c r="C165" s="248">
        <v>0</v>
      </c>
      <c r="D165" s="248">
        <v>3.0291821054344559E-3</v>
      </c>
      <c r="E165" s="248">
        <v>0</v>
      </c>
      <c r="F165" s="248">
        <v>6.2454545445689118E-4</v>
      </c>
      <c r="G165" s="248">
        <v>1.2208675034344172E-3</v>
      </c>
      <c r="H165" s="248">
        <v>0</v>
      </c>
    </row>
    <row r="166" spans="1:8" outlineLevel="1"/>
    <row r="167" spans="1:8" outlineLevel="1">
      <c r="A167" s="23" t="s">
        <v>343</v>
      </c>
    </row>
    <row r="168" spans="1:8" outlineLevel="1">
      <c r="A168"/>
    </row>
    <row r="169" spans="1:8" outlineLevel="1">
      <c r="A169" t="s">
        <v>344</v>
      </c>
    </row>
    <row r="170" spans="1:8" outlineLevel="1">
      <c r="A170" t="s">
        <v>345</v>
      </c>
    </row>
    <row r="171" spans="1:8" outlineLevel="1">
      <c r="A171" t="s">
        <v>346</v>
      </c>
    </row>
    <row r="172" spans="1:8" outlineLevel="1">
      <c r="A172" t="s">
        <v>347</v>
      </c>
    </row>
    <row r="173" spans="1:8" outlineLevel="1"/>
  </sheetData>
  <mergeCells count="6">
    <mergeCell ref="B104:H104"/>
    <mergeCell ref="B126:H126"/>
    <mergeCell ref="B148:H148"/>
    <mergeCell ref="B4:H4"/>
    <mergeCell ref="B60:H60"/>
    <mergeCell ref="B82:H8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AB5D1-AE33-4388-802A-AEFE809F4534}">
  <sheetPr codeName="Sheet24">
    <tabColor theme="3"/>
  </sheetPr>
  <dimension ref="B1:G25"/>
  <sheetViews>
    <sheetView showGridLines="0" zoomScale="115" zoomScaleNormal="115" workbookViewId="0"/>
  </sheetViews>
  <sheetFormatPr defaultColWidth="8.7109375" defaultRowHeight="12.75"/>
  <cols>
    <col min="1" max="1" width="1.5703125" style="115" customWidth="1"/>
    <col min="2" max="2" width="1.5703125" style="114" customWidth="1"/>
    <col min="3" max="3" width="29" style="115" customWidth="1"/>
    <col min="4" max="4" width="22.28515625" style="115" customWidth="1"/>
    <col min="5" max="5" width="20.5703125" style="115" customWidth="1"/>
    <col min="6" max="6" width="6.28515625" style="115" customWidth="1"/>
    <col min="7" max="7" width="23.42578125" style="115" customWidth="1"/>
    <col min="8" max="10" width="20.5703125" style="115" customWidth="1"/>
    <col min="11" max="11" width="11.28515625" style="115" customWidth="1"/>
    <col min="12" max="12" width="34.28515625" style="115" customWidth="1"/>
    <col min="13" max="14" width="19" style="115" customWidth="1"/>
    <col min="15" max="16384" width="8.7109375" style="115"/>
  </cols>
  <sheetData>
    <row r="1" spans="2:7" s="112" customFormat="1">
      <c r="B1" s="113" t="s">
        <v>26</v>
      </c>
    </row>
    <row r="2" spans="2:7" s="112" customFormat="1">
      <c r="B2" s="113"/>
      <c r="C2" s="113"/>
    </row>
    <row r="3" spans="2:7" s="112" customFormat="1">
      <c r="B3" s="113"/>
      <c r="C3" s="112" t="s">
        <v>27</v>
      </c>
    </row>
    <row r="4" spans="2:7">
      <c r="C4" s="180" t="s">
        <v>28</v>
      </c>
      <c r="D4" s="181" t="s">
        <v>415</v>
      </c>
      <c r="E4" s="181" t="s">
        <v>416</v>
      </c>
    </row>
    <row r="5" spans="2:7">
      <c r="C5" s="179" t="s">
        <v>29</v>
      </c>
      <c r="D5" s="116">
        <f>'BCA Summary'!H21/10^6</f>
        <v>109.60256140752169</v>
      </c>
      <c r="E5" s="116">
        <f>'BCA Summary'!H34/10^6</f>
        <v>70.958950285098894</v>
      </c>
    </row>
    <row r="6" spans="2:7">
      <c r="C6" s="179" t="s">
        <v>30</v>
      </c>
      <c r="D6" s="116">
        <f>'BCA Summary'!H38/10^6</f>
        <v>48.972907979723196</v>
      </c>
      <c r="E6" s="116">
        <f>'BCA Summary'!H41/10^6</f>
        <v>44.613733666987528</v>
      </c>
    </row>
    <row r="7" spans="2:7">
      <c r="C7" s="179" t="s">
        <v>31</v>
      </c>
      <c r="D7" s="116">
        <f>D5-D6</f>
        <v>60.629653427798495</v>
      </c>
      <c r="E7" s="116">
        <f>E5-E6</f>
        <v>26.345216618111365</v>
      </c>
    </row>
    <row r="8" spans="2:7">
      <c r="C8" s="179" t="s">
        <v>32</v>
      </c>
      <c r="D8" s="182">
        <f>D5/D6</f>
        <v>2.2380243675319766</v>
      </c>
      <c r="E8" s="182">
        <f>E5/E6</f>
        <v>1.5905180860844612</v>
      </c>
    </row>
    <row r="9" spans="2:7">
      <c r="D9" s="183"/>
      <c r="E9" s="183"/>
    </row>
    <row r="10" spans="2:7" s="112" customFormat="1">
      <c r="B10" s="113"/>
      <c r="D10" s="185"/>
      <c r="E10" s="184"/>
    </row>
    <row r="11" spans="2:7">
      <c r="C11" s="287" t="s">
        <v>414</v>
      </c>
      <c r="D11" s="287" t="s">
        <v>415</v>
      </c>
      <c r="E11" s="287" t="s">
        <v>416</v>
      </c>
    </row>
    <row r="12" spans="2:7">
      <c r="C12" s="193" t="s">
        <v>49</v>
      </c>
      <c r="D12" s="288">
        <f>INDEX('BCA Summary'!$H$11:$H$19,MATCH('Narrative Tables'!$C12,'BCA Summary'!$E$11:$E$19,0))/10^6</f>
        <v>0.37516879422000249</v>
      </c>
      <c r="E12" s="288">
        <f>INDEX('BCA Summary'!$H$24:$H$32,MATCH('Narrative Tables'!$C12,'BCA Summary'!$E$11:$E$19,0))/10^6</f>
        <v>0.23949761398606878</v>
      </c>
      <c r="G12" s="291">
        <f t="shared" ref="G12:G21" si="0">E12/$E$21</f>
        <v>3.3751572285640533E-3</v>
      </c>
    </row>
    <row r="13" spans="2:7">
      <c r="C13" s="193" t="s">
        <v>130</v>
      </c>
      <c r="D13" s="288">
        <f>INDEX('BCA Summary'!$H$11:$H$19,MATCH('Narrative Tables'!$C13,'BCA Summary'!$E$11:$E$19,0))/10^6</f>
        <v>0.40300564604639089</v>
      </c>
      <c r="E13" s="288">
        <f>INDEX('BCA Summary'!$H$24:$H$32,MATCH('Narrative Tables'!$C13,'BCA Summary'!$E$11:$E$19,0))/10^6</f>
        <v>0.26003587713335569</v>
      </c>
      <c r="G13" s="291">
        <f t="shared" si="0"/>
        <v>3.6645958837973718E-3</v>
      </c>
    </row>
    <row r="14" spans="2:7">
      <c r="C14" s="193" t="s">
        <v>51</v>
      </c>
      <c r="D14" s="288">
        <f>INDEX('BCA Summary'!$H$11:$H$19,MATCH('Narrative Tables'!$C14,'BCA Summary'!$E$11:$E$19,0))/10^6</f>
        <v>3.5707300253720269</v>
      </c>
      <c r="E14" s="288">
        <f>INDEX('BCA Summary'!$H$24:$H$32,MATCH('Narrative Tables'!$C14,'BCA Summary'!$E$11:$E$19,0))/10^6</f>
        <v>2.3039823964330779</v>
      </c>
      <c r="G14" s="291">
        <f t="shared" si="0"/>
        <v>3.2469228859448133E-2</v>
      </c>
    </row>
    <row r="15" spans="2:7">
      <c r="C15" s="193" t="s">
        <v>128</v>
      </c>
      <c r="D15" s="288">
        <f>INDEX('BCA Summary'!$H$11:$H$19,MATCH('Narrative Tables'!$C15,'BCA Summary'!$E$11:$E$19,0))/10^6</f>
        <v>48.05158576101028</v>
      </c>
      <c r="E15" s="288">
        <f>INDEX('BCA Summary'!$H$24:$H$32,MATCH('Narrative Tables'!$C15,'BCA Summary'!$E$11:$E$19,0))/10^6</f>
        <v>30.672659820618986</v>
      </c>
      <c r="G15" s="291">
        <f t="shared" si="0"/>
        <v>0.43225921039393012</v>
      </c>
    </row>
    <row r="16" spans="2:7">
      <c r="C16" s="193" t="s">
        <v>53</v>
      </c>
      <c r="D16" s="288">
        <f>INDEX('BCA Summary'!$H$11:$H$19,MATCH('Narrative Tables'!$C16,'BCA Summary'!$E$11:$E$19,0))/10^6</f>
        <v>0.15458875304039851</v>
      </c>
      <c r="E16" s="288">
        <f>INDEX('BCA Summary'!$H$24:$H$32,MATCH('Narrative Tables'!$C16,'BCA Summary'!$E$11:$E$19,0))/10^6</f>
        <v>0.11499827840022211</v>
      </c>
      <c r="G16" s="291">
        <f t="shared" si="0"/>
        <v>1.6206310541261111E-3</v>
      </c>
    </row>
    <row r="17" spans="2:7">
      <c r="C17" s="193" t="s">
        <v>253</v>
      </c>
      <c r="D17" s="288">
        <f>INDEX('BCA Summary'!$H$11:$H$19,MATCH('Narrative Tables'!$C17,'BCA Summary'!$E$11:$E$19,0))/10^6</f>
        <v>43.078112294827619</v>
      </c>
      <c r="E17" s="288">
        <f>INDEX('BCA Summary'!$H$24:$H$32,MATCH('Narrative Tables'!$C17,'BCA Summary'!$E$11:$E$19,0))/10^6</f>
        <v>27.485121475283769</v>
      </c>
      <c r="G17" s="291">
        <f t="shared" si="0"/>
        <v>0.38733833244226479</v>
      </c>
    </row>
    <row r="18" spans="2:7">
      <c r="C18" s="193" t="s">
        <v>45</v>
      </c>
      <c r="D18" s="288">
        <f>INDEX('BCA Summary'!$H$11:$H$19,MATCH('Narrative Tables'!$C18,'BCA Summary'!$E$11:$E$19,0))/10^6</f>
        <v>-0.77209457547169769</v>
      </c>
      <c r="E18" s="288">
        <f>INDEX('BCA Summary'!$H$24:$H$32,MATCH('Narrative Tables'!$C18,'BCA Summary'!$E$11:$E$19,0))/10^6</f>
        <v>-0.50163506437639149</v>
      </c>
      <c r="G18" s="291">
        <f t="shared" si="0"/>
        <v>-7.0693698590653057E-3</v>
      </c>
    </row>
    <row r="19" spans="2:7">
      <c r="C19" s="193" t="s">
        <v>47</v>
      </c>
      <c r="D19" s="288">
        <f>INDEX('BCA Summary'!$H$11:$H$19,MATCH('Narrative Tables'!$C19,'BCA Summary'!$E$11:$E$19,0))/10^6</f>
        <v>6.0088173913043486</v>
      </c>
      <c r="E19" s="288">
        <f>INDEX('BCA Summary'!$H$24:$H$32,MATCH('Narrative Tables'!$C19,'BCA Summary'!$E$11:$E$19,0))/10^6</f>
        <v>2.8878926083230438</v>
      </c>
      <c r="G19" s="291">
        <f t="shared" si="0"/>
        <v>4.0698073981084396E-2</v>
      </c>
    </row>
    <row r="20" spans="2:7" ht="25.5">
      <c r="C20" s="193" t="s">
        <v>417</v>
      </c>
      <c r="D20" s="288">
        <f>INDEX('BCA Summary'!$H$11:$H$19,MATCH('Narrative Tables'!$C20,'BCA Summary'!$E$11:$E$19,0))/10^6</f>
        <v>8.7326473171723045</v>
      </c>
      <c r="E20" s="288">
        <f>INDEX('BCA Summary'!$H$24:$H$32,MATCH('Narrative Tables'!$C20,'BCA Summary'!$E$11:$E$19,0))/10^6</f>
        <v>7.4963972792967457</v>
      </c>
      <c r="G20" s="291">
        <f t="shared" si="0"/>
        <v>0.10564414001585029</v>
      </c>
    </row>
    <row r="21" spans="2:7" s="112" customFormat="1">
      <c r="B21" s="113"/>
      <c r="C21" s="289" t="s">
        <v>29</v>
      </c>
      <c r="D21" s="290">
        <f>SUM(D12:D20)</f>
        <v>109.60256140752168</v>
      </c>
      <c r="E21" s="290">
        <f>SUM(E12:E20)</f>
        <v>70.958950285098879</v>
      </c>
      <c r="G21" s="291">
        <f t="shared" si="0"/>
        <v>1</v>
      </c>
    </row>
    <row r="24" spans="2:7">
      <c r="C24" s="287" t="s">
        <v>152</v>
      </c>
      <c r="D24" s="287" t="s">
        <v>41</v>
      </c>
      <c r="E24" s="287" t="s">
        <v>65</v>
      </c>
    </row>
    <row r="25" spans="2:7" ht="25.5">
      <c r="C25" s="193" t="s">
        <v>418</v>
      </c>
      <c r="D25" s="110" t="s">
        <v>211</v>
      </c>
      <c r="E25" s="188">
        <f>'Intermediate Calcs'!H79</f>
        <v>533.75576199388797</v>
      </c>
    </row>
  </sheetData>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0DEAD-F8F9-40EA-A5F6-F4C5018AAD4E}">
  <sheetPr>
    <tabColor theme="3"/>
  </sheetPr>
  <dimension ref="A1:N196"/>
  <sheetViews>
    <sheetView showGridLines="0" zoomScaleNormal="100" workbookViewId="0"/>
  </sheetViews>
  <sheetFormatPr defaultColWidth="8.7109375" defaultRowHeight="12.75"/>
  <cols>
    <col min="1" max="1" width="1.5703125" style="112" customWidth="1"/>
    <col min="2" max="2" width="1.5703125" style="113" customWidth="1"/>
    <col min="3" max="3" width="29" style="112" customWidth="1"/>
    <col min="4" max="4" width="22.28515625" style="112" customWidth="1"/>
    <col min="5" max="5" width="20.5703125" style="112" customWidth="1"/>
    <col min="6" max="6" width="29" style="112" customWidth="1"/>
    <col min="7" max="7" width="23.42578125" style="112" customWidth="1"/>
    <col min="8" max="10" width="20.5703125" style="112" customWidth="1"/>
    <col min="11" max="11" width="15" style="112" customWidth="1"/>
    <col min="12" max="12" width="34.28515625" style="112" customWidth="1"/>
    <col min="13" max="14" width="19" style="112" customWidth="1"/>
    <col min="15" max="16384" width="8.7109375" style="112"/>
  </cols>
  <sheetData>
    <row r="1" spans="1:14">
      <c r="A1" s="293"/>
      <c r="C1" s="294" t="s">
        <v>388</v>
      </c>
    </row>
    <row r="2" spans="1:14" ht="25.5">
      <c r="A2" s="293"/>
      <c r="C2" s="295" t="s">
        <v>122</v>
      </c>
      <c r="D2" s="295" t="s">
        <v>123</v>
      </c>
      <c r="E2" s="295" t="s">
        <v>124</v>
      </c>
      <c r="F2" s="295" t="s">
        <v>125</v>
      </c>
      <c r="G2" s="295" t="s">
        <v>126</v>
      </c>
      <c r="H2" s="295" t="s">
        <v>127</v>
      </c>
      <c r="L2" s="296"/>
      <c r="M2" s="296"/>
      <c r="N2" s="296"/>
    </row>
    <row r="3" spans="1:14" ht="39.4" customHeight="1">
      <c r="A3" s="293"/>
      <c r="C3" s="388" t="s">
        <v>419</v>
      </c>
      <c r="D3" s="388" t="s">
        <v>437</v>
      </c>
      <c r="E3" s="388" t="s">
        <v>446</v>
      </c>
      <c r="F3" s="301" t="s">
        <v>128</v>
      </c>
      <c r="G3" s="299">
        <f>'BCA Summary'!H30/10^6</f>
        <v>30.672659820618986</v>
      </c>
      <c r="H3" s="299"/>
      <c r="L3" s="300"/>
    </row>
    <row r="4" spans="1:14" ht="39.4" customHeight="1">
      <c r="A4" s="293"/>
      <c r="C4" s="390"/>
      <c r="D4" s="390"/>
      <c r="E4" s="390"/>
      <c r="F4" s="301" t="s">
        <v>253</v>
      </c>
      <c r="G4" s="299">
        <f>'BCA Summary'!H32/10^6</f>
        <v>27.485121475283769</v>
      </c>
      <c r="H4" s="299"/>
      <c r="L4" s="300"/>
    </row>
    <row r="5" spans="1:14" ht="28.15" customHeight="1">
      <c r="A5" s="293"/>
      <c r="C5" s="388" t="s">
        <v>450</v>
      </c>
      <c r="D5" s="388" t="s">
        <v>421</v>
      </c>
      <c r="E5" s="388" t="s">
        <v>449</v>
      </c>
      <c r="F5" s="301" t="s">
        <v>130</v>
      </c>
      <c r="G5" s="299">
        <f>'BCA Summary'!H28/10^6</f>
        <v>0.26003587713335569</v>
      </c>
      <c r="H5" s="299"/>
      <c r="L5" s="300"/>
    </row>
    <row r="6" spans="1:14" ht="27" customHeight="1">
      <c r="A6" s="293"/>
      <c r="C6" s="389"/>
      <c r="D6" s="389"/>
      <c r="E6" s="390"/>
      <c r="F6" s="301" t="s">
        <v>49</v>
      </c>
      <c r="G6" s="299">
        <f>'BCA Summary'!H27/10^6</f>
        <v>0.23949761398606878</v>
      </c>
      <c r="H6" s="299"/>
      <c r="L6" s="300"/>
    </row>
    <row r="7" spans="1:14" ht="34.15" customHeight="1">
      <c r="A7" s="293"/>
      <c r="C7" s="389"/>
      <c r="D7" s="389"/>
      <c r="E7" s="297" t="s">
        <v>447</v>
      </c>
      <c r="F7" s="301" t="s">
        <v>51</v>
      </c>
      <c r="G7" s="299">
        <f>'BCA Summary'!H29/10^6</f>
        <v>2.3039823964330779</v>
      </c>
      <c r="H7" s="299"/>
      <c r="L7" s="300"/>
    </row>
    <row r="8" spans="1:14" ht="36.4" customHeight="1">
      <c r="A8" s="293"/>
      <c r="C8" s="390"/>
      <c r="D8" s="390"/>
      <c r="E8" s="301" t="s">
        <v>448</v>
      </c>
      <c r="F8" s="297" t="s">
        <v>191</v>
      </c>
      <c r="G8" s="299">
        <f>'BCA Summary'!H31/10^6</f>
        <v>0.11499827840022211</v>
      </c>
      <c r="H8" s="299"/>
      <c r="L8" s="300"/>
      <c r="M8" s="300"/>
      <c r="N8" s="300"/>
    </row>
    <row r="9" spans="1:14">
      <c r="A9" s="293"/>
      <c r="C9" s="388" t="s">
        <v>420</v>
      </c>
      <c r="D9" s="388" t="s">
        <v>420</v>
      </c>
      <c r="E9" s="388" t="s">
        <v>129</v>
      </c>
      <c r="F9" s="301" t="s">
        <v>131</v>
      </c>
      <c r="G9" s="326">
        <f>'BCA Summary'!H24/10^6</f>
        <v>-0.50163506437639149</v>
      </c>
      <c r="H9" s="301"/>
      <c r="L9" s="302"/>
    </row>
    <row r="10" spans="1:14">
      <c r="A10" s="293"/>
      <c r="C10" s="389"/>
      <c r="D10" s="389"/>
      <c r="E10" s="389"/>
      <c r="F10" s="301" t="s">
        <v>48</v>
      </c>
      <c r="G10" s="299">
        <f>'BCA Summary'!H26/10^6</f>
        <v>7.4963972792967457</v>
      </c>
      <c r="H10" s="301"/>
      <c r="L10" s="302"/>
    </row>
    <row r="11" spans="1:14">
      <c r="A11" s="293"/>
      <c r="C11" s="390"/>
      <c r="D11" s="390"/>
      <c r="E11" s="390"/>
      <c r="F11" s="301" t="s">
        <v>47</v>
      </c>
      <c r="G11" s="299">
        <f>'BCA Summary'!H25/10^6</f>
        <v>2.8878926083230438</v>
      </c>
      <c r="H11" s="301"/>
      <c r="L11" s="302"/>
    </row>
    <row r="12" spans="1:14">
      <c r="A12" s="293"/>
      <c r="C12" s="300"/>
      <c r="D12" s="300"/>
      <c r="E12" s="300"/>
      <c r="F12" s="303"/>
      <c r="G12" s="304"/>
      <c r="H12" s="300"/>
      <c r="L12" s="302"/>
    </row>
    <row r="13" spans="1:14">
      <c r="A13" s="293"/>
      <c r="C13" s="300"/>
      <c r="D13" s="300"/>
      <c r="E13" s="300"/>
      <c r="F13" s="305"/>
      <c r="G13" s="306"/>
      <c r="H13" s="306"/>
      <c r="L13" s="302"/>
    </row>
    <row r="14" spans="1:14">
      <c r="A14" s="293"/>
      <c r="C14" s="300"/>
      <c r="D14" s="300"/>
      <c r="E14" s="303"/>
      <c r="F14" s="305"/>
      <c r="G14" s="306"/>
      <c r="H14" s="306"/>
      <c r="L14" s="302"/>
    </row>
    <row r="15" spans="1:14">
      <c r="A15" s="293"/>
      <c r="C15" s="113" t="s">
        <v>132</v>
      </c>
      <c r="I15" s="184"/>
      <c r="J15" s="184"/>
      <c r="L15" s="303"/>
      <c r="M15" s="300"/>
      <c r="N15" s="307"/>
    </row>
    <row r="16" spans="1:14" ht="25.5">
      <c r="A16" s="293"/>
      <c r="C16" s="295" t="s">
        <v>133</v>
      </c>
      <c r="D16" s="295" t="s">
        <v>134</v>
      </c>
      <c r="E16" s="295" t="s">
        <v>135</v>
      </c>
      <c r="F16" s="295" t="s">
        <v>136</v>
      </c>
      <c r="G16" s="295" t="s">
        <v>137</v>
      </c>
      <c r="H16" s="295" t="s">
        <v>138</v>
      </c>
      <c r="I16" s="295" t="s">
        <v>57</v>
      </c>
      <c r="J16" s="295" t="s">
        <v>58</v>
      </c>
      <c r="K16" s="300"/>
      <c r="L16" s="307"/>
    </row>
    <row r="17" spans="1:14">
      <c r="A17" s="293"/>
      <c r="C17" s="308">
        <v>2019</v>
      </c>
      <c r="D17" s="309">
        <f>INDEX('Capital Costs'!$G$6:$R$11,MATCH('Report Tables'!D$16,'Capital Costs'!$E$6:$E$11,0),MATCH('Report Tables'!$C17,'Capital Costs'!$G$5:$R$5,0))/10^6</f>
        <v>0</v>
      </c>
      <c r="E17" s="309">
        <f>INDEX('Capital Costs'!$G$6:$R$11,MATCH('Report Tables'!E$16,'Capital Costs'!$E$6:$E$11,0),MATCH('Report Tables'!$C17,'Capital Costs'!$G$5:$R$5,0))/10^6</f>
        <v>0</v>
      </c>
      <c r="F17" s="309">
        <f>INDEX('Capital Costs'!$G$6:$R$11,MATCH('Report Tables'!F$16,'Capital Costs'!$E$6:$E$11,0),MATCH('Report Tables'!$C17,'Capital Costs'!$G$5:$R$5,0))/10^6</f>
        <v>0</v>
      </c>
      <c r="G17" s="309">
        <f>INDEX('Capital Costs'!$G$6:$R$11,MATCH('Report Tables'!G$16,'Capital Costs'!$E$6:$E$11,0),MATCH('Report Tables'!$C17,'Capital Costs'!$G$5:$R$5,0))/10^6</f>
        <v>0</v>
      </c>
      <c r="H17" s="309">
        <f>INDEX('Capital Costs'!$G$6:$R$11,MATCH('Report Tables'!H$16,'Capital Costs'!$E$6:$E$11,0),MATCH('Report Tables'!$C17,'Capital Costs'!$G$5:$R$5,0))/10^6</f>
        <v>0</v>
      </c>
      <c r="I17" s="309">
        <f>INDEX('Capital Costs'!$G$6:$R$11,MATCH('Report Tables'!I$16,'Capital Costs'!$E$6:$E$11,0),MATCH('Report Tables'!$C17,'Capital Costs'!$G$5:$R$5,0))/10^6</f>
        <v>0</v>
      </c>
      <c r="J17" s="309">
        <f>IFERROR(INDEX('BCA Summary'!$I$41:$BB$41,1,MATCH('Report Tables'!$C17,'BCA Summary'!$I$2:$BB$2,0)),0)/10^6</f>
        <v>0</v>
      </c>
      <c r="K17" s="300"/>
      <c r="L17" s="307"/>
    </row>
    <row r="18" spans="1:14">
      <c r="A18" s="293"/>
      <c r="C18" s="308">
        <f>C17+1</f>
        <v>2020</v>
      </c>
      <c r="D18" s="309">
        <f>INDEX('Capital Costs'!$G$6:$R$11,MATCH('Report Tables'!D$16,'Capital Costs'!$E$6:$E$11,0),MATCH('Report Tables'!$C18,'Capital Costs'!$G$5:$R$5,0))/10^6</f>
        <v>6.0088173913043486</v>
      </c>
      <c r="E18" s="309">
        <f>INDEX('Capital Costs'!$G$6:$R$11,MATCH('Report Tables'!E$16,'Capital Costs'!$E$6:$E$11,0),MATCH('Report Tables'!$C18,'Capital Costs'!$G$5:$R$5,0))/10^6</f>
        <v>0</v>
      </c>
      <c r="F18" s="309">
        <f>INDEX('Capital Costs'!$G$6:$R$11,MATCH('Report Tables'!F$16,'Capital Costs'!$E$6:$E$11,0),MATCH('Report Tables'!$C18,'Capital Costs'!$G$5:$R$5,0))/10^6</f>
        <v>0</v>
      </c>
      <c r="G18" s="309">
        <f>INDEX('Capital Costs'!$G$6:$R$11,MATCH('Report Tables'!G$16,'Capital Costs'!$E$6:$E$11,0),MATCH('Report Tables'!$C18,'Capital Costs'!$G$5:$R$5,0))/10^6</f>
        <v>0</v>
      </c>
      <c r="H18" s="309">
        <f>INDEX('Capital Costs'!$G$6:$R$11,MATCH('Report Tables'!H$16,'Capital Costs'!$E$6:$E$11,0),MATCH('Report Tables'!$C18,'Capital Costs'!$G$5:$R$5,0))/10^6</f>
        <v>0</v>
      </c>
      <c r="I18" s="309">
        <f>INDEX('Capital Costs'!$G$6:$R$11,MATCH('Report Tables'!I$16,'Capital Costs'!$E$6:$E$11,0),MATCH('Report Tables'!$C18,'Capital Costs'!$G$5:$R$5,0))/10^6</f>
        <v>6.0088173913043486</v>
      </c>
      <c r="J18" s="309">
        <f>IFERROR(INDEX('BCA Summary'!$I$41:$BB$41,1,MATCH('Report Tables'!$C18,'BCA Summary'!$I$2:$BB$2,0)),0)/10^6</f>
        <v>6.0088173913043486</v>
      </c>
      <c r="K18" s="300"/>
      <c r="L18" s="307"/>
    </row>
    <row r="19" spans="1:14">
      <c r="A19" s="293"/>
      <c r="C19" s="308">
        <f t="shared" ref="C19:C25" si="0">C18+1</f>
        <v>2021</v>
      </c>
      <c r="D19" s="309">
        <f>INDEX('Capital Costs'!$G$6:$R$11,MATCH('Report Tables'!D$16,'Capital Costs'!$E$6:$E$11,0),MATCH('Report Tables'!$C19,'Capital Costs'!$G$5:$R$5,0))/10^6</f>
        <v>0</v>
      </c>
      <c r="E19" s="309">
        <f>INDEX('Capital Costs'!$G$6:$R$11,MATCH('Report Tables'!E$16,'Capital Costs'!$E$6:$E$11,0),MATCH('Report Tables'!$C19,'Capital Costs'!$G$5:$R$5,0))/10^6</f>
        <v>0</v>
      </c>
      <c r="F19" s="309">
        <f>INDEX('Capital Costs'!$G$6:$R$11,MATCH('Report Tables'!F$16,'Capital Costs'!$E$6:$E$11,0),MATCH('Report Tables'!$C19,'Capital Costs'!$G$5:$R$5,0))/10^6</f>
        <v>0</v>
      </c>
      <c r="G19" s="309">
        <f>INDEX('Capital Costs'!$G$6:$R$11,MATCH('Report Tables'!G$16,'Capital Costs'!$E$6:$E$11,0),MATCH('Report Tables'!$C19,'Capital Costs'!$G$5:$R$5,0))/10^6</f>
        <v>0</v>
      </c>
      <c r="H19" s="309">
        <f>INDEX('Capital Costs'!$G$6:$R$11,MATCH('Report Tables'!H$16,'Capital Costs'!$E$6:$E$11,0),MATCH('Report Tables'!$C19,'Capital Costs'!$G$5:$R$5,0))/10^6</f>
        <v>0</v>
      </c>
      <c r="I19" s="309">
        <f>INDEX('Capital Costs'!$G$6:$R$11,MATCH('Report Tables'!I$16,'Capital Costs'!$E$6:$E$11,0),MATCH('Report Tables'!$C19,'Capital Costs'!$G$5:$R$5,0))/10^6</f>
        <v>0</v>
      </c>
      <c r="J19" s="309">
        <f>IFERROR(INDEX('BCA Summary'!$I$41:$BB$41,1,MATCH('Report Tables'!$C19,'BCA Summary'!$I$2:$BB$2,0)),0)/10^6</f>
        <v>0</v>
      </c>
      <c r="K19" s="300"/>
      <c r="L19" s="307"/>
    </row>
    <row r="20" spans="1:14">
      <c r="A20" s="293"/>
      <c r="C20" s="308">
        <f t="shared" si="0"/>
        <v>2022</v>
      </c>
      <c r="D20" s="309">
        <f>INDEX('Capital Costs'!$G$6:$R$11,MATCH('Report Tables'!D$16,'Capital Costs'!$E$6:$E$11,0),MATCH('Report Tables'!$C20,'Capital Costs'!$G$5:$R$5,0))/10^6</f>
        <v>0</v>
      </c>
      <c r="E20" s="309">
        <f>INDEX('Capital Costs'!$G$6:$R$11,MATCH('Report Tables'!E$16,'Capital Costs'!$E$6:$E$11,0),MATCH('Report Tables'!$C20,'Capital Costs'!$G$5:$R$5,0))/10^6</f>
        <v>2.0084651304347827</v>
      </c>
      <c r="F20" s="309">
        <f>INDEX('Capital Costs'!$G$6:$R$11,MATCH('Report Tables'!F$16,'Capital Costs'!$E$6:$E$11,0),MATCH('Report Tables'!$C20,'Capital Costs'!$G$5:$R$5,0))/10^6</f>
        <v>0</v>
      </c>
      <c r="G20" s="309">
        <f>INDEX('Capital Costs'!$G$6:$R$11,MATCH('Report Tables'!G$16,'Capital Costs'!$E$6:$E$11,0),MATCH('Report Tables'!$C20,'Capital Costs'!$G$5:$R$5,0))/10^6</f>
        <v>0</v>
      </c>
      <c r="H20" s="309">
        <f>INDEX('Capital Costs'!$G$6:$R$11,MATCH('Report Tables'!H$16,'Capital Costs'!$E$6:$E$11,0),MATCH('Report Tables'!$C20,'Capital Costs'!$G$5:$R$5,0))/10^6</f>
        <v>0</v>
      </c>
      <c r="I20" s="309">
        <f>INDEX('Capital Costs'!$G$6:$R$11,MATCH('Report Tables'!I$16,'Capital Costs'!$E$6:$E$11,0),MATCH('Report Tables'!$C20,'Capital Costs'!$G$5:$R$5,0))/10^6</f>
        <v>2.0084651304347827</v>
      </c>
      <c r="J20" s="309">
        <f>IFERROR(INDEX('BCA Summary'!$I$41:$BB$41,1,MATCH('Report Tables'!$C20,'BCA Summary'!$I$2:$BB$2,0)),0)/10^6</f>
        <v>2.0084651304347827</v>
      </c>
      <c r="K20" s="300"/>
      <c r="L20" s="307"/>
    </row>
    <row r="21" spans="1:14">
      <c r="A21" s="293"/>
      <c r="C21" s="308">
        <f t="shared" si="0"/>
        <v>2023</v>
      </c>
      <c r="D21" s="309">
        <f>INDEX('Capital Costs'!$G$6:$R$11,MATCH('Report Tables'!D$16,'Capital Costs'!$E$6:$E$11,0),MATCH('Report Tables'!$C21,'Capital Costs'!$G$5:$R$5,0))/10^6</f>
        <v>0</v>
      </c>
      <c r="E21" s="309">
        <f>INDEX('Capital Costs'!$G$6:$R$11,MATCH('Report Tables'!E$16,'Capital Costs'!$E$6:$E$11,0),MATCH('Report Tables'!$C21,'Capital Costs'!$G$5:$R$5,0))/10^6</f>
        <v>0</v>
      </c>
      <c r="F21" s="309">
        <f>INDEX('Capital Costs'!$G$6:$R$11,MATCH('Report Tables'!F$16,'Capital Costs'!$E$6:$E$11,0),MATCH('Report Tables'!$C21,'Capital Costs'!$G$5:$R$5,0))/10^6</f>
        <v>0</v>
      </c>
      <c r="G21" s="309">
        <f>INDEX('Capital Costs'!$G$6:$R$11,MATCH('Report Tables'!G$16,'Capital Costs'!$E$6:$E$11,0),MATCH('Report Tables'!$C21,'Capital Costs'!$G$5:$R$5,0))/10^6</f>
        <v>0</v>
      </c>
      <c r="H21" s="309">
        <f>INDEX('Capital Costs'!$G$6:$R$11,MATCH('Report Tables'!H$16,'Capital Costs'!$E$6:$E$11,0),MATCH('Report Tables'!$C21,'Capital Costs'!$G$5:$R$5,0))/10^6</f>
        <v>0</v>
      </c>
      <c r="I21" s="309">
        <f>INDEX('Capital Costs'!$G$6:$R$11,MATCH('Report Tables'!I$16,'Capital Costs'!$E$6:$E$11,0),MATCH('Report Tables'!$C21,'Capital Costs'!$G$5:$R$5,0))/10^6</f>
        <v>0</v>
      </c>
      <c r="J21" s="309">
        <f>IFERROR(INDEX('BCA Summary'!$I$41:$BB$41,1,MATCH('Report Tables'!$C21,'BCA Summary'!$I$2:$BB$2,0)),0)/10^6</f>
        <v>0</v>
      </c>
      <c r="K21" s="300"/>
      <c r="L21" s="307"/>
    </row>
    <row r="22" spans="1:14">
      <c r="A22" s="293"/>
      <c r="C22" s="308">
        <f t="shared" si="0"/>
        <v>2024</v>
      </c>
      <c r="D22" s="309">
        <f>INDEX('Capital Costs'!$G$6:$R$11,MATCH('Report Tables'!D$16,'Capital Costs'!$E$6:$E$11,0),MATCH('Report Tables'!$C22,'Capital Costs'!$G$5:$R$5,0))/10^6</f>
        <v>0</v>
      </c>
      <c r="E22" s="309">
        <f>INDEX('Capital Costs'!$G$6:$R$11,MATCH('Report Tables'!E$16,'Capital Costs'!$E$6:$E$11,0),MATCH('Report Tables'!$C22,'Capital Costs'!$G$5:$R$5,0))/10^6</f>
        <v>0</v>
      </c>
      <c r="F22" s="309">
        <f>INDEX('Capital Costs'!$G$6:$R$11,MATCH('Report Tables'!F$16,'Capital Costs'!$E$6:$E$11,0),MATCH('Report Tables'!$C22,'Capital Costs'!$G$5:$R$5,0))/10^6</f>
        <v>0.74005873976504077</v>
      </c>
      <c r="G22" s="309">
        <f>INDEX('Capital Costs'!$G$6:$R$11,MATCH('Report Tables'!G$16,'Capital Costs'!$E$6:$E$11,0),MATCH('Report Tables'!$C22,'Capital Costs'!$G$5:$R$5,0))/10^6</f>
        <v>0</v>
      </c>
      <c r="H22" s="309">
        <f>INDEX('Capital Costs'!$G$6:$R$11,MATCH('Report Tables'!H$16,'Capital Costs'!$E$6:$E$11,0),MATCH('Report Tables'!$C22,'Capital Costs'!$G$5:$R$5,0))/10^6</f>
        <v>0</v>
      </c>
      <c r="I22" s="309">
        <f>INDEX('Capital Costs'!$G$6:$R$11,MATCH('Report Tables'!I$16,'Capital Costs'!$E$6:$E$11,0),MATCH('Report Tables'!$C22,'Capital Costs'!$G$5:$R$5,0))/10^6</f>
        <v>0.74005873976504077</v>
      </c>
      <c r="J22" s="309">
        <f>IFERROR(INDEX('BCA Summary'!$I$41:$BB$41,1,MATCH('Report Tables'!$C22,'BCA Summary'!$I$2:$BB$2,0)),0)/10^6</f>
        <v>0.69622379350234009</v>
      </c>
      <c r="K22" s="300"/>
      <c r="L22" s="307"/>
    </row>
    <row r="23" spans="1:14">
      <c r="A23" s="293"/>
      <c r="C23" s="308">
        <f t="shared" si="0"/>
        <v>2025</v>
      </c>
      <c r="D23" s="309">
        <f>INDEX('Capital Costs'!$G$6:$R$11,MATCH('Report Tables'!D$16,'Capital Costs'!$E$6:$E$11,0),MATCH('Report Tables'!$C23,'Capital Costs'!$G$5:$R$5,0))/10^6</f>
        <v>0</v>
      </c>
      <c r="E23" s="309">
        <f>INDEX('Capital Costs'!$G$6:$R$11,MATCH('Report Tables'!E$16,'Capital Costs'!$E$6:$E$11,0),MATCH('Report Tables'!$C23,'Capital Costs'!$G$5:$R$5,0))/10^6</f>
        <v>0</v>
      </c>
      <c r="F23" s="309">
        <f>INDEX('Capital Costs'!$G$6:$R$11,MATCH('Report Tables'!F$16,'Capital Costs'!$E$6:$E$11,0),MATCH('Report Tables'!$C23,'Capital Costs'!$G$5:$R$5,0))/10^6</f>
        <v>0</v>
      </c>
      <c r="G23" s="309">
        <f>INDEX('Capital Costs'!$G$6:$R$11,MATCH('Report Tables'!G$16,'Capital Costs'!$E$6:$E$11,0),MATCH('Report Tables'!$C23,'Capital Costs'!$G$5:$R$5,0))/10^6</f>
        <v>15.742861556855654</v>
      </c>
      <c r="H23" s="309">
        <f>INDEX('Capital Costs'!$G$6:$R$11,MATCH('Report Tables'!H$16,'Capital Costs'!$E$6:$E$11,0),MATCH('Report Tables'!$C23,'Capital Costs'!$G$5:$R$5,0))/10^6</f>
        <v>0</v>
      </c>
      <c r="I23" s="309">
        <f>INDEX('Capital Costs'!$G$6:$R$11,MATCH('Report Tables'!I$16,'Capital Costs'!$E$6:$E$11,0),MATCH('Report Tables'!$C23,'Capital Costs'!$G$5:$R$5,0))/10^6</f>
        <v>15.742861556855654</v>
      </c>
      <c r="J23" s="309">
        <f>IFERROR(INDEX('BCA Summary'!$I$41:$BB$41,1,MATCH('Report Tables'!$C23,'BCA Summary'!$I$2:$BB$2,0)),0)/10^6</f>
        <v>14.365067810268544</v>
      </c>
      <c r="K23" s="300"/>
      <c r="L23" s="307"/>
    </row>
    <row r="24" spans="1:14">
      <c r="A24" s="293"/>
      <c r="C24" s="308">
        <f t="shared" si="0"/>
        <v>2026</v>
      </c>
      <c r="D24" s="309">
        <f>INDEX('Capital Costs'!$G$6:$R$11,MATCH('Report Tables'!D$16,'Capital Costs'!$E$6:$E$11,0),MATCH('Report Tables'!$C24,'Capital Costs'!$G$5:$R$5,0))/10^6</f>
        <v>0</v>
      </c>
      <c r="E24" s="309">
        <f>INDEX('Capital Costs'!$G$6:$R$11,MATCH('Report Tables'!E$16,'Capital Costs'!$E$6:$E$11,0),MATCH('Report Tables'!$C24,'Capital Costs'!$G$5:$R$5,0))/10^6</f>
        <v>0</v>
      </c>
      <c r="F24" s="309">
        <f>INDEX('Capital Costs'!$G$6:$R$11,MATCH('Report Tables'!F$16,'Capital Costs'!$E$6:$E$11,0),MATCH('Report Tables'!$C24,'Capital Costs'!$G$5:$R$5,0))/10^6</f>
        <v>0</v>
      </c>
      <c r="G24" s="309">
        <f>INDEX('Capital Costs'!$G$6:$R$11,MATCH('Report Tables'!G$16,'Capital Costs'!$E$6:$E$11,0),MATCH('Report Tables'!$C24,'Capital Costs'!$G$5:$R$5,0))/10^6</f>
        <v>19.802341580950511</v>
      </c>
      <c r="H24" s="309">
        <f>INDEX('Capital Costs'!$G$6:$R$11,MATCH('Report Tables'!H$16,'Capital Costs'!$E$6:$E$11,0),MATCH('Report Tables'!$C24,'Capital Costs'!$G$5:$R$5,0))/10^6</f>
        <v>0</v>
      </c>
      <c r="I24" s="309">
        <f>INDEX('Capital Costs'!$G$6:$R$11,MATCH('Report Tables'!I$16,'Capital Costs'!$E$6:$E$11,0),MATCH('Report Tables'!$C24,'Capital Costs'!$G$5:$R$5,0))/10^6</f>
        <v>19.802341580950511</v>
      </c>
      <c r="J24" s="309">
        <f>IFERROR(INDEX('BCA Summary'!$I$41:$BB$41,1,MATCH('Report Tables'!$C24,'BCA Summary'!$I$2:$BB$2,0)),0)/10^6</f>
        <v>17.525962837897559</v>
      </c>
      <c r="K24" s="300"/>
      <c r="L24" s="307"/>
    </row>
    <row r="25" spans="1:14">
      <c r="A25" s="293"/>
      <c r="C25" s="308">
        <f t="shared" si="0"/>
        <v>2027</v>
      </c>
      <c r="D25" s="309">
        <f>INDEX('Capital Costs'!$G$6:$R$11,MATCH('Report Tables'!D$16,'Capital Costs'!$E$6:$E$11,0),MATCH('Report Tables'!$C25,'Capital Costs'!$G$5:$R$5,0))/10^6</f>
        <v>0</v>
      </c>
      <c r="E25" s="309">
        <f>INDEX('Capital Costs'!$G$6:$R$11,MATCH('Report Tables'!E$16,'Capital Costs'!$E$6:$E$11,0),MATCH('Report Tables'!$C25,'Capital Costs'!$G$5:$R$5,0))/10^6</f>
        <v>0</v>
      </c>
      <c r="F25" s="309">
        <f>INDEX('Capital Costs'!$G$6:$R$11,MATCH('Report Tables'!F$16,'Capital Costs'!$E$6:$E$11,0),MATCH('Report Tables'!$C25,'Capital Costs'!$G$5:$R$5,0))/10^6</f>
        <v>0</v>
      </c>
      <c r="G25" s="309">
        <f>INDEX('Capital Costs'!$G$6:$R$11,MATCH('Report Tables'!G$16,'Capital Costs'!$E$6:$E$11,0),MATCH('Report Tables'!$C25,'Capital Costs'!$G$5:$R$5,0))/10^6</f>
        <v>4.6703635804128556</v>
      </c>
      <c r="H25" s="309">
        <f>INDEX('Capital Costs'!$G$6:$R$11,MATCH('Report Tables'!H$16,'Capital Costs'!$E$6:$E$11,0),MATCH('Report Tables'!$C25,'Capital Costs'!$G$5:$R$5,0))/10^6</f>
        <v>0</v>
      </c>
      <c r="I25" s="309">
        <f>INDEX('Capital Costs'!$G$6:$R$11,MATCH('Report Tables'!I$16,'Capital Costs'!$E$6:$E$11,0),MATCH('Report Tables'!$C25,'Capital Costs'!$G$5:$R$5,0))/10^6</f>
        <v>4.6703635804128556</v>
      </c>
      <c r="J25" s="309">
        <f>IFERROR(INDEX('BCA Summary'!$I$41:$BB$41,1,MATCH('Report Tables'!$C25,'BCA Summary'!$I$2:$BB$2,0)),0)/10^6</f>
        <v>4.0091967035799545</v>
      </c>
      <c r="K25" s="300"/>
      <c r="L25" s="307"/>
    </row>
    <row r="26" spans="1:14">
      <c r="A26" s="293"/>
      <c r="C26" s="310" t="s">
        <v>139</v>
      </c>
      <c r="D26" s="309">
        <f t="shared" ref="D26:J26" si="1">SUM(D$17:D$25)</f>
        <v>6.0088173913043486</v>
      </c>
      <c r="E26" s="309">
        <f t="shared" si="1"/>
        <v>2.0084651304347827</v>
      </c>
      <c r="F26" s="309">
        <f t="shared" si="1"/>
        <v>0.74005873976504077</v>
      </c>
      <c r="G26" s="309">
        <f t="shared" si="1"/>
        <v>40.215566718219023</v>
      </c>
      <c r="H26" s="309">
        <f t="shared" si="1"/>
        <v>0</v>
      </c>
      <c r="I26" s="309">
        <f t="shared" si="1"/>
        <v>48.972907979723189</v>
      </c>
      <c r="J26" s="309">
        <f t="shared" si="1"/>
        <v>44.613733666987528</v>
      </c>
      <c r="K26" s="300"/>
      <c r="L26" s="307"/>
    </row>
    <row r="27" spans="1:14">
      <c r="A27" s="293"/>
      <c r="D27" s="184"/>
      <c r="L27" s="303"/>
      <c r="M27" s="300"/>
      <c r="N27" s="307"/>
    </row>
    <row r="28" spans="1:14">
      <c r="A28" s="293"/>
      <c r="L28" s="303"/>
      <c r="M28" s="300"/>
      <c r="N28" s="307"/>
    </row>
    <row r="29" spans="1:14">
      <c r="A29" s="293"/>
      <c r="C29" s="294" t="s">
        <v>389</v>
      </c>
    </row>
    <row r="30" spans="1:14" ht="25.5">
      <c r="A30" s="293"/>
      <c r="C30" s="395"/>
      <c r="D30" s="295" t="s">
        <v>140</v>
      </c>
      <c r="E30" s="295" t="s">
        <v>141</v>
      </c>
      <c r="F30" s="311" t="s">
        <v>142</v>
      </c>
    </row>
    <row r="31" spans="1:14">
      <c r="A31" s="293"/>
      <c r="C31" s="395"/>
      <c r="D31" s="295" t="s">
        <v>143</v>
      </c>
      <c r="E31" s="295" t="s">
        <v>143</v>
      </c>
      <c r="F31" s="295" t="s">
        <v>143</v>
      </c>
    </row>
    <row r="32" spans="1:14">
      <c r="A32" s="293"/>
      <c r="C32" s="301" t="s">
        <v>139</v>
      </c>
      <c r="D32" s="312">
        <f>'O&amp;M'!G31/10^6</f>
        <v>0</v>
      </c>
      <c r="E32" s="312">
        <f>'O&amp;M'!F31/10^6</f>
        <v>0.78186792452830145</v>
      </c>
      <c r="F32" s="313">
        <f>'O&amp;M'!H31/10^6</f>
        <v>-0.78186792452830145</v>
      </c>
    </row>
    <row r="33" spans="1:6">
      <c r="A33" s="293"/>
      <c r="C33" s="300"/>
      <c r="D33" s="314"/>
      <c r="E33" s="314"/>
      <c r="F33" s="314"/>
    </row>
    <row r="34" spans="1:6">
      <c r="A34" s="293"/>
      <c r="C34" s="294"/>
      <c r="D34" s="314"/>
      <c r="E34" s="314"/>
      <c r="F34" s="314"/>
    </row>
    <row r="35" spans="1:6">
      <c r="A35" s="293"/>
      <c r="C35" s="294" t="s">
        <v>389</v>
      </c>
      <c r="D35" s="314"/>
      <c r="E35" s="314"/>
      <c r="F35" s="314"/>
    </row>
    <row r="36" spans="1:6" ht="25.5">
      <c r="A36" s="293"/>
      <c r="C36" s="295" t="s">
        <v>133</v>
      </c>
      <c r="D36" s="295" t="s">
        <v>140</v>
      </c>
      <c r="E36" s="295" t="s">
        <v>141</v>
      </c>
      <c r="F36" s="311" t="s">
        <v>142</v>
      </c>
    </row>
    <row r="37" spans="1:6">
      <c r="A37" s="293"/>
      <c r="C37" s="315">
        <f>'O&amp;M'!E11</f>
        <v>2027</v>
      </c>
      <c r="D37" s="338">
        <f>'O&amp;M'!G11/10^6</f>
        <v>0</v>
      </c>
      <c r="E37" s="338">
        <f>'O&amp;M'!F11/10^6</f>
        <v>3.9093396226415091E-2</v>
      </c>
      <c r="F37" s="326">
        <f>'O&amp;M'!H11/10^6</f>
        <v>-3.9093396226415091E-2</v>
      </c>
    </row>
    <row r="38" spans="1:6">
      <c r="A38" s="293"/>
      <c r="C38" s="315">
        <f>'O&amp;M'!E12</f>
        <v>2028</v>
      </c>
      <c r="D38" s="338">
        <f>'O&amp;M'!G12/10^6</f>
        <v>0</v>
      </c>
      <c r="E38" s="338">
        <f>'O&amp;M'!F12/10^6</f>
        <v>3.9093396226415091E-2</v>
      </c>
      <c r="F38" s="326">
        <f>'O&amp;M'!H12/10^6</f>
        <v>-3.9093396226415091E-2</v>
      </c>
    </row>
    <row r="39" spans="1:6">
      <c r="A39" s="293"/>
      <c r="C39" s="315">
        <f>'O&amp;M'!E13</f>
        <v>2029</v>
      </c>
      <c r="D39" s="338">
        <f>'O&amp;M'!G13/10^6</f>
        <v>0</v>
      </c>
      <c r="E39" s="338">
        <f>'O&amp;M'!F13/10^6</f>
        <v>3.9093396226415091E-2</v>
      </c>
      <c r="F39" s="326">
        <f>'O&amp;M'!H13/10^6</f>
        <v>-3.9093396226415091E-2</v>
      </c>
    </row>
    <row r="40" spans="1:6">
      <c r="A40" s="293"/>
      <c r="C40" s="315">
        <f>'O&amp;M'!E14</f>
        <v>2030</v>
      </c>
      <c r="D40" s="338">
        <f>'O&amp;M'!G14/10^6</f>
        <v>0</v>
      </c>
      <c r="E40" s="338">
        <f>'O&amp;M'!F14/10^6</f>
        <v>3.9093396226415091E-2</v>
      </c>
      <c r="F40" s="326">
        <f>'O&amp;M'!H14/10^6</f>
        <v>-3.9093396226415091E-2</v>
      </c>
    </row>
    <row r="41" spans="1:6">
      <c r="A41" s="293"/>
      <c r="C41" s="315">
        <f>'O&amp;M'!E15</f>
        <v>2031</v>
      </c>
      <c r="D41" s="338">
        <f>'O&amp;M'!G15/10^6</f>
        <v>0</v>
      </c>
      <c r="E41" s="338">
        <f>'O&amp;M'!F15/10^6</f>
        <v>3.9093396226415091E-2</v>
      </c>
      <c r="F41" s="326">
        <f>'O&amp;M'!H15/10^6</f>
        <v>-3.9093396226415091E-2</v>
      </c>
    </row>
    <row r="42" spans="1:6">
      <c r="A42" s="293"/>
      <c r="C42" s="315">
        <f>'O&amp;M'!E16</f>
        <v>2032</v>
      </c>
      <c r="D42" s="338">
        <f>'O&amp;M'!G16/10^6</f>
        <v>0</v>
      </c>
      <c r="E42" s="338">
        <f>'O&amp;M'!F16/10^6</f>
        <v>3.9093396226415091E-2</v>
      </c>
      <c r="F42" s="326">
        <f>'O&amp;M'!H16/10^6</f>
        <v>-3.9093396226415091E-2</v>
      </c>
    </row>
    <row r="43" spans="1:6">
      <c r="A43" s="293"/>
      <c r="C43" s="315">
        <f>'O&amp;M'!E17</f>
        <v>2033</v>
      </c>
      <c r="D43" s="338">
        <f>'O&amp;M'!G17/10^6</f>
        <v>0</v>
      </c>
      <c r="E43" s="338">
        <f>'O&amp;M'!F17/10^6</f>
        <v>3.9093396226415091E-2</v>
      </c>
      <c r="F43" s="326">
        <f>'O&amp;M'!H17/10^6</f>
        <v>-3.9093396226415091E-2</v>
      </c>
    </row>
    <row r="44" spans="1:6">
      <c r="A44" s="293"/>
      <c r="C44" s="315">
        <f>'O&amp;M'!E18</f>
        <v>2034</v>
      </c>
      <c r="D44" s="338">
        <f>'O&amp;M'!G18/10^6</f>
        <v>0</v>
      </c>
      <c r="E44" s="338">
        <f>'O&amp;M'!F18/10^6</f>
        <v>3.9093396226415091E-2</v>
      </c>
      <c r="F44" s="326">
        <f>'O&amp;M'!H18/10^6</f>
        <v>-3.9093396226415091E-2</v>
      </c>
    </row>
    <row r="45" spans="1:6">
      <c r="A45" s="293"/>
      <c r="C45" s="315">
        <f>'O&amp;M'!E19</f>
        <v>2035</v>
      </c>
      <c r="D45" s="338">
        <f>'O&amp;M'!G19/10^6</f>
        <v>0</v>
      </c>
      <c r="E45" s="338">
        <f>'O&amp;M'!F19/10^6</f>
        <v>3.9093396226415091E-2</v>
      </c>
      <c r="F45" s="326">
        <f>'O&amp;M'!H19/10^6</f>
        <v>-3.9093396226415091E-2</v>
      </c>
    </row>
    <row r="46" spans="1:6">
      <c r="A46" s="293"/>
      <c r="C46" s="315">
        <f>'O&amp;M'!E20</f>
        <v>2036</v>
      </c>
      <c r="D46" s="338">
        <f>'O&amp;M'!G20/10^6</f>
        <v>0</v>
      </c>
      <c r="E46" s="338">
        <f>'O&amp;M'!F20/10^6</f>
        <v>3.9093396226415091E-2</v>
      </c>
      <c r="F46" s="326">
        <f>'O&amp;M'!H20/10^6</f>
        <v>-3.9093396226415091E-2</v>
      </c>
    </row>
    <row r="47" spans="1:6">
      <c r="A47" s="293"/>
      <c r="C47" s="315">
        <f>'O&amp;M'!E21</f>
        <v>2037</v>
      </c>
      <c r="D47" s="338">
        <f>'O&amp;M'!G21/10^6</f>
        <v>0</v>
      </c>
      <c r="E47" s="338">
        <f>'O&amp;M'!F21/10^6</f>
        <v>3.9093396226415091E-2</v>
      </c>
      <c r="F47" s="326">
        <f>'O&amp;M'!H21/10^6</f>
        <v>-3.9093396226415091E-2</v>
      </c>
    </row>
    <row r="48" spans="1:6">
      <c r="A48" s="293"/>
      <c r="C48" s="315">
        <f>'O&amp;M'!E22</f>
        <v>2038</v>
      </c>
      <c r="D48" s="338">
        <f>'O&amp;M'!G22/10^6</f>
        <v>0</v>
      </c>
      <c r="E48" s="338">
        <f>'O&amp;M'!F22/10^6</f>
        <v>3.9093396226415091E-2</v>
      </c>
      <c r="F48" s="326">
        <f>'O&amp;M'!H22/10^6</f>
        <v>-3.9093396226415091E-2</v>
      </c>
    </row>
    <row r="49" spans="1:6">
      <c r="A49" s="293"/>
      <c r="C49" s="315">
        <f>'O&amp;M'!E23</f>
        <v>2039</v>
      </c>
      <c r="D49" s="338">
        <f>'O&amp;M'!G23/10^6</f>
        <v>0</v>
      </c>
      <c r="E49" s="338">
        <f>'O&amp;M'!F23/10^6</f>
        <v>3.9093396226415091E-2</v>
      </c>
      <c r="F49" s="326">
        <f>'O&amp;M'!H23/10^6</f>
        <v>-3.9093396226415091E-2</v>
      </c>
    </row>
    <row r="50" spans="1:6">
      <c r="A50" s="293"/>
      <c r="C50" s="315">
        <f>'O&amp;M'!E24</f>
        <v>2040</v>
      </c>
      <c r="D50" s="338">
        <f>'O&amp;M'!G24/10^6</f>
        <v>0</v>
      </c>
      <c r="E50" s="338">
        <f>'O&amp;M'!F24/10^6</f>
        <v>3.9093396226415091E-2</v>
      </c>
      <c r="F50" s="326">
        <f>'O&amp;M'!H24/10^6</f>
        <v>-3.9093396226415091E-2</v>
      </c>
    </row>
    <row r="51" spans="1:6">
      <c r="A51" s="293"/>
      <c r="C51" s="315">
        <f>'O&amp;M'!E25</f>
        <v>2041</v>
      </c>
      <c r="D51" s="338">
        <f>'O&amp;M'!G25/10^6</f>
        <v>0</v>
      </c>
      <c r="E51" s="338">
        <f>'O&amp;M'!F25/10^6</f>
        <v>3.9093396226415091E-2</v>
      </c>
      <c r="F51" s="326">
        <f>'O&amp;M'!H25/10^6</f>
        <v>-3.9093396226415091E-2</v>
      </c>
    </row>
    <row r="52" spans="1:6">
      <c r="A52" s="293"/>
      <c r="C52" s="315">
        <f>'O&amp;M'!E26</f>
        <v>2042</v>
      </c>
      <c r="D52" s="338">
        <f>'O&amp;M'!G26/10^6</f>
        <v>0</v>
      </c>
      <c r="E52" s="338">
        <f>'O&amp;M'!F26/10^6</f>
        <v>3.9093396226415091E-2</v>
      </c>
      <c r="F52" s="326">
        <f>'O&amp;M'!H26/10^6</f>
        <v>-3.9093396226415091E-2</v>
      </c>
    </row>
    <row r="53" spans="1:6">
      <c r="A53" s="293"/>
      <c r="C53" s="315">
        <f>'O&amp;M'!E27</f>
        <v>2043</v>
      </c>
      <c r="D53" s="338">
        <f>'O&amp;M'!G27/10^6</f>
        <v>0</v>
      </c>
      <c r="E53" s="338">
        <f>'O&amp;M'!F27/10^6</f>
        <v>3.9093396226415091E-2</v>
      </c>
      <c r="F53" s="326">
        <f>'O&amp;M'!H27/10^6</f>
        <v>-3.9093396226415091E-2</v>
      </c>
    </row>
    <row r="54" spans="1:6">
      <c r="A54" s="293"/>
      <c r="C54" s="315">
        <f>'O&amp;M'!E28</f>
        <v>2044</v>
      </c>
      <c r="D54" s="338">
        <f>'O&amp;M'!G28/10^6</f>
        <v>0</v>
      </c>
      <c r="E54" s="338">
        <f>'O&amp;M'!F28/10^6</f>
        <v>3.9093396226415091E-2</v>
      </c>
      <c r="F54" s="326">
        <f>'O&amp;M'!H28/10^6</f>
        <v>-3.9093396226415091E-2</v>
      </c>
    </row>
    <row r="55" spans="1:6">
      <c r="A55" s="293"/>
      <c r="C55" s="315">
        <f>'O&amp;M'!E29</f>
        <v>2045</v>
      </c>
      <c r="D55" s="338">
        <f>'O&amp;M'!G29/10^6</f>
        <v>0</v>
      </c>
      <c r="E55" s="338">
        <f>'O&amp;M'!F29/10^6</f>
        <v>3.9093396226415091E-2</v>
      </c>
      <c r="F55" s="326">
        <f>'O&amp;M'!H29/10^6</f>
        <v>-3.9093396226415091E-2</v>
      </c>
    </row>
    <row r="56" spans="1:6">
      <c r="A56" s="293"/>
      <c r="C56" s="315">
        <f>'O&amp;M'!E30</f>
        <v>2046</v>
      </c>
      <c r="D56" s="338">
        <f>'O&amp;M'!G30/10^6</f>
        <v>0</v>
      </c>
      <c r="E56" s="338">
        <f>'O&amp;M'!F30/10^6</f>
        <v>3.9093396226415091E-2</v>
      </c>
      <c r="F56" s="326">
        <f>'O&amp;M'!H30/10^6</f>
        <v>-3.9093396226415091E-2</v>
      </c>
    </row>
    <row r="57" spans="1:6">
      <c r="A57" s="293"/>
      <c r="C57" s="316" t="str">
        <f>'O&amp;M'!E31</f>
        <v>Total</v>
      </c>
      <c r="D57" s="338">
        <f>'O&amp;M'!G31/10^6</f>
        <v>0</v>
      </c>
      <c r="E57" s="338">
        <f>'O&amp;M'!F31/10^6</f>
        <v>0.78186792452830145</v>
      </c>
      <c r="F57" s="326">
        <f>'O&amp;M'!H31/10^6</f>
        <v>-0.78186792452830145</v>
      </c>
    </row>
    <row r="58" spans="1:6">
      <c r="A58" s="293"/>
      <c r="C58" s="363"/>
      <c r="D58" s="364"/>
      <c r="E58" s="364"/>
      <c r="F58" s="365"/>
    </row>
    <row r="59" spans="1:6">
      <c r="A59" s="293"/>
      <c r="C59" s="113" t="s">
        <v>452</v>
      </c>
    </row>
    <row r="60" spans="1:6">
      <c r="A60" s="293"/>
      <c r="C60" s="295" t="s">
        <v>39</v>
      </c>
      <c r="D60" s="295" t="s">
        <v>41</v>
      </c>
      <c r="E60" s="318" t="s">
        <v>65</v>
      </c>
      <c r="F60" s="318" t="s">
        <v>151</v>
      </c>
    </row>
    <row r="61" spans="1:6">
      <c r="A61" s="293"/>
      <c r="C61" s="301" t="str">
        <f>'Repurposed ROW'!E6</f>
        <v>Phase II Air Rights</v>
      </c>
      <c r="D61" s="301" t="str">
        <f>'Repurposed ROW'!F6</f>
        <v>2027 $</v>
      </c>
      <c r="E61" s="326">
        <f>'Repurposed ROW'!G6/10^6</f>
        <v>11.686252</v>
      </c>
      <c r="F61" s="403" t="s">
        <v>357</v>
      </c>
    </row>
    <row r="62" spans="1:6">
      <c r="A62" s="293"/>
      <c r="C62" s="301" t="str">
        <f>'Repurposed ROW'!E7</f>
        <v>Year of Sale</v>
      </c>
      <c r="D62" s="301" t="str">
        <f>'Repurposed ROW'!F7</f>
        <v>year</v>
      </c>
      <c r="E62" s="301">
        <f>'Repurposed ROW'!G7</f>
        <v>2027</v>
      </c>
      <c r="F62" s="404"/>
    </row>
    <row r="63" spans="1:6">
      <c r="A63" s="293"/>
      <c r="C63" s="301" t="str">
        <f>'Repurposed ROW'!E8</f>
        <v>Escalation rate</v>
      </c>
      <c r="D63" s="301" t="str">
        <f>'Repurposed ROW'!F8</f>
        <v>percent</v>
      </c>
      <c r="E63" s="366">
        <f>'Repurposed ROW'!G8</f>
        <v>0.06</v>
      </c>
      <c r="F63" s="404"/>
    </row>
    <row r="64" spans="1:6">
      <c r="A64" s="293"/>
      <c r="C64" s="301" t="str">
        <f>'Repurposed ROW'!E9</f>
        <v>Phase II Air Rights</v>
      </c>
      <c r="D64" s="301" t="str">
        <f>'Repurposed ROW'!F9</f>
        <v>2022 $</v>
      </c>
      <c r="E64" s="326">
        <f>'Repurposed ROW'!G9/10^6</f>
        <v>8.7326473171723045</v>
      </c>
      <c r="F64" s="405"/>
    </row>
    <row r="65" spans="1:6">
      <c r="A65" s="293"/>
      <c r="C65" s="363"/>
      <c r="D65" s="364"/>
      <c r="E65" s="364"/>
      <c r="F65" s="365"/>
    </row>
    <row r="66" spans="1:6">
      <c r="A66" s="293"/>
      <c r="C66" s="300"/>
      <c r="D66" s="314"/>
      <c r="E66" s="314"/>
      <c r="F66" s="314"/>
    </row>
    <row r="67" spans="1:6">
      <c r="A67" s="293"/>
      <c r="C67" s="113" t="s">
        <v>393</v>
      </c>
      <c r="D67" s="314"/>
      <c r="E67" s="314"/>
      <c r="F67" s="314"/>
    </row>
    <row r="68" spans="1:6">
      <c r="A68" s="293"/>
      <c r="C68" s="295" t="s">
        <v>402</v>
      </c>
      <c r="D68" s="317" t="s">
        <v>147</v>
      </c>
      <c r="E68" s="318" t="s">
        <v>148</v>
      </c>
    </row>
    <row r="69" spans="1:6">
      <c r="A69" s="293"/>
      <c r="C69" s="301" t="s">
        <v>149</v>
      </c>
      <c r="D69" s="319">
        <f>'BCA Summary'!H14/10^6</f>
        <v>0.37516879422000249</v>
      </c>
      <c r="E69" s="320">
        <f>'BCA Summary'!H27/10^6</f>
        <v>0.23949761398606878</v>
      </c>
      <c r="F69" s="296"/>
    </row>
    <row r="70" spans="1:6">
      <c r="A70" s="293"/>
      <c r="B70" s="112"/>
      <c r="C70" s="301" t="s">
        <v>150</v>
      </c>
      <c r="D70" s="319">
        <f>'BCA Summary'!H15/10^6</f>
        <v>0.40300564604639089</v>
      </c>
      <c r="E70" s="320">
        <f>'BCA Summary'!H28/10^6</f>
        <v>0.26003587713335569</v>
      </c>
      <c r="F70" s="303"/>
    </row>
    <row r="71" spans="1:6">
      <c r="A71" s="293"/>
      <c r="B71" s="112"/>
      <c r="C71" s="315" t="s">
        <v>139</v>
      </c>
      <c r="D71" s="321">
        <f>SUM(D69:D70)</f>
        <v>0.77817444026639337</v>
      </c>
      <c r="E71" s="321">
        <f>SUM(E69:E70)</f>
        <v>0.49953349111942447</v>
      </c>
      <c r="F71" s="303"/>
    </row>
    <row r="72" spans="1:6">
      <c r="A72" s="293"/>
      <c r="C72" s="296"/>
      <c r="D72" s="322"/>
      <c r="E72" s="322"/>
      <c r="F72" s="305"/>
    </row>
    <row r="73" spans="1:6">
      <c r="A73" s="293"/>
      <c r="C73" s="113" t="s">
        <v>399</v>
      </c>
      <c r="F73" s="305"/>
    </row>
    <row r="74" spans="1:6">
      <c r="A74" s="293"/>
      <c r="C74" s="295" t="s">
        <v>39</v>
      </c>
      <c r="D74" s="295" t="s">
        <v>41</v>
      </c>
      <c r="E74" s="318" t="s">
        <v>65</v>
      </c>
      <c r="F74" s="318" t="s">
        <v>151</v>
      </c>
    </row>
    <row r="75" spans="1:6" ht="13.15" customHeight="1">
      <c r="A75" s="293"/>
      <c r="C75" s="323" t="str">
        <f>'Project Assumptions'!E30</f>
        <v>Residential Uptake 2027</v>
      </c>
      <c r="D75" s="323" t="str">
        <f>'Project Assumptions'!F30</f>
        <v>percent</v>
      </c>
      <c r="E75" s="324">
        <f>'Project Assumptions'!G30</f>
        <v>0.5</v>
      </c>
      <c r="F75" s="396" t="str">
        <f>'Project Assumptions'!H30</f>
        <v>Source: City of Covington; BCA Assumption. With the mixed use development, the BCA assumes that in the first year only 50% of units would be occupied and that by year 2032 the occupancy rate will increase to 92%.</v>
      </c>
    </row>
    <row r="76" spans="1:6">
      <c r="A76" s="293"/>
      <c r="C76" s="323" t="str">
        <f>'Project Assumptions'!E31</f>
        <v>Residential Uptake 2032</v>
      </c>
      <c r="D76" s="323" t="str">
        <f>'Project Assumptions'!F31</f>
        <v>percent</v>
      </c>
      <c r="E76" s="324">
        <f>'Project Assumptions'!G31</f>
        <v>0.92</v>
      </c>
      <c r="F76" s="397"/>
    </row>
    <row r="77" spans="1:6">
      <c r="A77" s="293"/>
      <c r="C77" s="323" t="str">
        <f>'Project Assumptions'!E32</f>
        <v>Hotel Uptake 2027</v>
      </c>
      <c r="D77" s="323" t="str">
        <f>'Project Assumptions'!F32</f>
        <v>percent</v>
      </c>
      <c r="E77" s="324">
        <f>'Project Assumptions'!G32</f>
        <v>0.44</v>
      </c>
      <c r="F77" s="397"/>
    </row>
    <row r="78" spans="1:6">
      <c r="A78" s="293"/>
      <c r="C78" s="323" t="str">
        <f>'Project Assumptions'!E33</f>
        <v>Hotel Uptake 2032</v>
      </c>
      <c r="D78" s="323" t="str">
        <f>'Project Assumptions'!F33</f>
        <v>percent</v>
      </c>
      <c r="E78" s="324">
        <f>'Project Assumptions'!G33</f>
        <v>0.78</v>
      </c>
      <c r="F78" s="397"/>
    </row>
    <row r="79" spans="1:6">
      <c r="A79" s="293"/>
      <c r="C79" s="323" t="s">
        <v>461</v>
      </c>
      <c r="D79" s="323" t="s">
        <v>236</v>
      </c>
      <c r="E79" s="373">
        <f>'Project Assumptions'!G37</f>
        <v>87</v>
      </c>
      <c r="F79" s="397"/>
    </row>
    <row r="80" spans="1:6" ht="25.5">
      <c r="A80" s="293"/>
      <c r="C80" s="323" t="s">
        <v>462</v>
      </c>
      <c r="D80" s="323" t="s">
        <v>463</v>
      </c>
      <c r="E80" s="373">
        <f>'Project Assumptions'!G38</f>
        <v>2.4900000000000002</v>
      </c>
      <c r="F80" s="397"/>
    </row>
    <row r="81" spans="1:6">
      <c r="A81" s="293"/>
      <c r="C81" s="323" t="s">
        <v>464</v>
      </c>
      <c r="D81" s="323" t="s">
        <v>236</v>
      </c>
      <c r="E81" s="373">
        <f>'Project Assumptions'!G40</f>
        <v>400</v>
      </c>
      <c r="F81" s="397"/>
    </row>
    <row r="82" spans="1:6">
      <c r="A82" s="293"/>
      <c r="C82" s="323" t="s">
        <v>428</v>
      </c>
      <c r="D82" s="323" t="s">
        <v>463</v>
      </c>
      <c r="E82" s="373">
        <f>'Project Assumptions'!G41</f>
        <v>1</v>
      </c>
      <c r="F82" s="398"/>
    </row>
    <row r="83" spans="1:6" ht="38.25">
      <c r="A83" s="293"/>
      <c r="C83" s="323" t="str">
        <f>'Project Assumptions'!E34</f>
        <v>Expand Sidewalk (per foot
of added Width)</v>
      </c>
      <c r="D83" s="323" t="str">
        <f>'Project Assumptions'!F34</f>
        <v>2022 $/person-mile</v>
      </c>
      <c r="E83" s="325">
        <f>'Project Assumptions'!G34</f>
        <v>0.11</v>
      </c>
      <c r="F83" s="323" t="str">
        <f>'Project Assumptions'!H34</f>
        <v>USDOT Benefit-Cost Analysis Guidance for Discretionary Grant Programs - January 2023</v>
      </c>
    </row>
    <row r="84" spans="1:6">
      <c r="A84" s="293"/>
      <c r="C84" s="323" t="str">
        <f>'Project Assumptions'!E35</f>
        <v>Distance walked</v>
      </c>
      <c r="D84" s="323" t="str">
        <f>'Project Assumptions'!F35</f>
        <v>miles</v>
      </c>
      <c r="E84" s="323">
        <f>'Project Assumptions'!G35</f>
        <v>0.2</v>
      </c>
      <c r="F84" s="388" t="str">
        <f>'Project Assumptions'!H35</f>
        <v>Source: City of Covington</v>
      </c>
    </row>
    <row r="85" spans="1:6">
      <c r="A85" s="293"/>
      <c r="C85" s="323" t="str">
        <f>'Project Assumptions'!E36</f>
        <v>Added width of sidewalk</v>
      </c>
      <c r="D85" s="323" t="str">
        <f>'Project Assumptions'!F36</f>
        <v>feet</v>
      </c>
      <c r="E85" s="323">
        <f>'Project Assumptions'!G36</f>
        <v>5</v>
      </c>
      <c r="F85" s="390"/>
    </row>
    <row r="86" spans="1:6">
      <c r="A86" s="293"/>
      <c r="C86" s="305"/>
      <c r="D86" s="305"/>
      <c r="E86" s="305"/>
      <c r="F86" s="300"/>
    </row>
    <row r="87" spans="1:6">
      <c r="A87" s="293"/>
      <c r="C87" s="113" t="s">
        <v>398</v>
      </c>
    </row>
    <row r="88" spans="1:6">
      <c r="A88" s="293"/>
      <c r="C88" s="295" t="s">
        <v>39</v>
      </c>
      <c r="D88" s="317" t="s">
        <v>41</v>
      </c>
      <c r="E88" s="318" t="s">
        <v>65</v>
      </c>
      <c r="F88" s="318" t="s">
        <v>151</v>
      </c>
    </row>
    <row r="89" spans="1:6" ht="38.25">
      <c r="A89" s="293"/>
      <c r="C89" s="323" t="str">
        <f>'Project Assumptions'!E20</f>
        <v>Dedicated cycling lane</v>
      </c>
      <c r="D89" s="301" t="str">
        <f>'Project Assumptions'!F20</f>
        <v>2022 $ / cycling mile</v>
      </c>
      <c r="E89" s="326">
        <f>'Project Assumptions'!G20</f>
        <v>1.86</v>
      </c>
      <c r="F89" s="323" t="str">
        <f>'Project Assumptions'!H20</f>
        <v>USDOT Benefit-Cost Analysis Guidance for Discretionary Grant Programs - January 2023</v>
      </c>
    </row>
    <row r="90" spans="1:6">
      <c r="A90" s="293"/>
      <c r="B90" s="112"/>
      <c r="C90" s="323" t="str">
        <f>'Project Assumptions'!E21</f>
        <v>Bike Lane Length</v>
      </c>
      <c r="D90" s="301" t="str">
        <f>'Project Assumptions'!F21</f>
        <v>miles</v>
      </c>
      <c r="E90" s="301">
        <f>'Project Assumptions'!G21</f>
        <v>0.1</v>
      </c>
      <c r="F90" s="388" t="str">
        <f>'Project Assumptions'!H21</f>
        <v>Source: City of Covington</v>
      </c>
    </row>
    <row r="91" spans="1:6">
      <c r="A91" s="293"/>
      <c r="B91" s="112"/>
      <c r="C91" s="323" t="str">
        <f>'Project Assumptions'!E22</f>
        <v>Bike Lane Expansion</v>
      </c>
      <c r="D91" s="301" t="str">
        <f>'Project Assumptions'!F22</f>
        <v>feet</v>
      </c>
      <c r="E91" s="301">
        <f>'Project Assumptions'!G22</f>
        <v>11</v>
      </c>
      <c r="F91" s="390"/>
    </row>
    <row r="92" spans="1:6" ht="25.5">
      <c r="A92" s="293"/>
      <c r="B92" s="112"/>
      <c r="C92" s="323" t="str">
        <f>'Project Assumptions'!E23</f>
        <v>Cyclists Base Year</v>
      </c>
      <c r="D92" s="301" t="str">
        <f>'Project Assumptions'!F23</f>
        <v>year</v>
      </c>
      <c r="E92" s="301">
        <f>'Project Assumptions'!G23</f>
        <v>2023</v>
      </c>
      <c r="F92" s="323" t="str">
        <f>'Project Assumptions'!H23</f>
        <v>Source: Replica Great Lakes Spring 2023</v>
      </c>
    </row>
    <row r="93" spans="1:6" ht="25.5">
      <c r="A93" s="293"/>
      <c r="B93" s="112"/>
      <c r="C93" s="323" t="str">
        <f>'Project Assumptions'!E24</f>
        <v>Daily Cyclists</v>
      </c>
      <c r="D93" s="301" t="str">
        <f>'Project Assumptions'!F24</f>
        <v>daily number</v>
      </c>
      <c r="E93" s="301">
        <f>'Project Assumptions'!G24</f>
        <v>213</v>
      </c>
      <c r="F93" s="323" t="str">
        <f>'Project Assumptions'!H24</f>
        <v>Source: Replica Great Lakes Spring 2023</v>
      </c>
    </row>
    <row r="94" spans="1:6" ht="38.25">
      <c r="A94" s="293"/>
      <c r="B94" s="112"/>
      <c r="C94" s="323" t="str">
        <f>'Project Assumptions'!E25</f>
        <v>Build Induced Bike Demand Increase</v>
      </c>
      <c r="D94" s="301" t="str">
        <f>'Project Assumptions'!F25</f>
        <v>factor</v>
      </c>
      <c r="E94" s="336">
        <f>'Project Assumptions'!G25</f>
        <v>0.6</v>
      </c>
      <c r="F94" s="323" t="str">
        <f>'Project Assumptions'!H25</f>
        <v>"Bikeability and the induced demand for cycling" by Mogens Fosgerau et al</v>
      </c>
    </row>
    <row r="95" spans="1:6">
      <c r="A95" s="293"/>
      <c r="B95" s="112"/>
      <c r="C95" s="323" t="str">
        <f>'Project Assumptions'!E26</f>
        <v>Covington Population Growth Rate</v>
      </c>
      <c r="D95" s="301" t="str">
        <f>'Project Assumptions'!F26</f>
        <v>percent</v>
      </c>
      <c r="E95" s="366">
        <f>'Project Assumptions'!G26</f>
        <v>7.0000000000000001E-3</v>
      </c>
      <c r="F95" s="323" t="str">
        <f>'Project Assumptions'!H26</f>
        <v>ESRI Forecast 2022-2027</v>
      </c>
    </row>
    <row r="96" spans="1:6" ht="38.25">
      <c r="A96" s="293"/>
      <c r="B96" s="112"/>
      <c r="C96" s="323" t="str">
        <f>'Project Assumptions'!E27</f>
        <v>Rule of Half</v>
      </c>
      <c r="D96" s="301" t="str">
        <f>'Project Assumptions'!F27</f>
        <v>percent</v>
      </c>
      <c r="E96" s="301">
        <f>'Project Assumptions'!G27</f>
        <v>0.5</v>
      </c>
      <c r="F96" s="323" t="str">
        <f>'Project Assumptions'!H27</f>
        <v>USDOT Benefit-Cost Analysis Guidance for Discretionary Grant Programs - December 2023</v>
      </c>
    </row>
    <row r="97" spans="1:6">
      <c r="A97" s="293"/>
      <c r="B97" s="112"/>
      <c r="C97" s="323" t="s">
        <v>74</v>
      </c>
      <c r="D97" s="301" t="s">
        <v>75</v>
      </c>
      <c r="E97" s="301">
        <f>annual_factor</f>
        <v>360</v>
      </c>
      <c r="F97" s="323" t="s">
        <v>460</v>
      </c>
    </row>
    <row r="98" spans="1:6">
      <c r="A98" s="293"/>
      <c r="C98" s="305"/>
      <c r="D98" s="305"/>
      <c r="E98" s="305"/>
      <c r="F98" s="300"/>
    </row>
    <row r="99" spans="1:6">
      <c r="A99" s="293"/>
      <c r="C99" s="113" t="s">
        <v>401</v>
      </c>
      <c r="F99" s="300"/>
    </row>
    <row r="100" spans="1:6">
      <c r="A100" s="293"/>
      <c r="C100" s="295" t="s">
        <v>402</v>
      </c>
      <c r="D100" s="317" t="s">
        <v>147</v>
      </c>
      <c r="E100" s="318" t="s">
        <v>148</v>
      </c>
      <c r="F100" s="300"/>
    </row>
    <row r="101" spans="1:6">
      <c r="A101" s="293"/>
      <c r="C101" s="301" t="s">
        <v>128</v>
      </c>
      <c r="D101" s="319">
        <f>'BCA Summary'!H17/10^6</f>
        <v>48.05158576101028</v>
      </c>
      <c r="E101" s="320">
        <f>'BCA Summary'!H30/10^6</f>
        <v>30.672659820618986</v>
      </c>
      <c r="F101" s="300"/>
    </row>
    <row r="102" spans="1:6">
      <c r="A102" s="293"/>
      <c r="C102" s="296"/>
      <c r="D102" s="322"/>
      <c r="E102" s="322"/>
      <c r="F102" s="305"/>
    </row>
    <row r="103" spans="1:6">
      <c r="A103" s="293"/>
      <c r="C103" s="113" t="s">
        <v>400</v>
      </c>
    </row>
    <row r="104" spans="1:6">
      <c r="A104" s="293"/>
      <c r="C104" s="295" t="s">
        <v>39</v>
      </c>
      <c r="D104" s="317" t="s">
        <v>41</v>
      </c>
      <c r="E104" s="318" t="s">
        <v>65</v>
      </c>
      <c r="F104" s="318" t="s">
        <v>151</v>
      </c>
    </row>
    <row r="105" spans="1:6">
      <c r="A105" s="293"/>
      <c r="C105" s="301" t="str">
        <f>"Distance to "&amp;'Project Assumptions'!E65</f>
        <v>Distance to Goebel Park</v>
      </c>
      <c r="D105" s="301" t="str">
        <f>'Project Assumptions'!F65</f>
        <v>minutes</v>
      </c>
      <c r="E105" s="301">
        <f>'Project Assumptions'!G65</f>
        <v>12</v>
      </c>
      <c r="F105" s="396" t="s">
        <v>465</v>
      </c>
    </row>
    <row r="106" spans="1:6">
      <c r="A106" s="293"/>
      <c r="C106" s="301" t="str">
        <f>"Distance to "&amp;'Project Assumptions'!E66</f>
        <v>Distance to Smale Riverfront Park</v>
      </c>
      <c r="D106" s="301" t="str">
        <f>'Project Assumptions'!F66</f>
        <v>minutes</v>
      </c>
      <c r="E106" s="301">
        <f>'Project Assumptions'!G66</f>
        <v>27</v>
      </c>
      <c r="F106" s="397"/>
    </row>
    <row r="107" spans="1:6" ht="25.5">
      <c r="A107" s="293"/>
      <c r="C107" s="301" t="str">
        <f>"Distance to "&amp;'Project Assumptions'!E67</f>
        <v>Distance to General James Taylor Park</v>
      </c>
      <c r="D107" s="301" t="str">
        <f>'Project Assumptions'!F67</f>
        <v>minutes</v>
      </c>
      <c r="E107" s="301">
        <f>'Project Assumptions'!G67</f>
        <v>21</v>
      </c>
      <c r="F107" s="397"/>
    </row>
    <row r="108" spans="1:6">
      <c r="A108" s="293"/>
      <c r="C108" s="301" t="str">
        <f>"Distance to "&amp;'Project Assumptions'!E68</f>
        <v>Distance to Covington Plaza</v>
      </c>
      <c r="D108" s="301" t="str">
        <f>'Project Assumptions'!F68</f>
        <v>minutes</v>
      </c>
      <c r="E108" s="301">
        <f>'Project Assumptions'!G68</f>
        <v>9</v>
      </c>
      <c r="F108" s="398"/>
    </row>
    <row r="109" spans="1:6" ht="51">
      <c r="A109" s="293"/>
      <c r="C109" s="301" t="s">
        <v>466</v>
      </c>
      <c r="D109" s="301" t="s">
        <v>371</v>
      </c>
      <c r="E109" s="327">
        <f>'Project Assumptions'!G69</f>
        <v>17.25</v>
      </c>
      <c r="F109" s="301" t="str">
        <f>'Project Assumptions'!H69</f>
        <v>Calculation; the BCA takes the average trip distance to alternative parks to value the benefit of having a public plaza</v>
      </c>
    </row>
    <row r="110" spans="1:6" ht="25.5">
      <c r="A110" s="293"/>
      <c r="C110" s="301" t="s">
        <v>468</v>
      </c>
      <c r="D110" s="301" t="s">
        <v>371</v>
      </c>
      <c r="E110" s="301">
        <f>'Project Assumptions'!G71</f>
        <v>3</v>
      </c>
      <c r="F110" s="396" t="s">
        <v>465</v>
      </c>
    </row>
    <row r="111" spans="1:6" ht="25.5">
      <c r="A111" s="293"/>
      <c r="C111" s="301" t="s">
        <v>469</v>
      </c>
      <c r="D111" s="301" t="s">
        <v>371</v>
      </c>
      <c r="E111" s="301">
        <f>'Project Assumptions'!G75</f>
        <v>7</v>
      </c>
      <c r="F111" s="398"/>
    </row>
    <row r="112" spans="1:6" ht="25.5">
      <c r="A112" s="293"/>
      <c r="B112" s="112"/>
      <c r="C112" s="301" t="str">
        <f>'Intermediate Calcs'!E162</f>
        <v>Daily Travel Time Savings (Residential)</v>
      </c>
      <c r="D112" s="301" t="str">
        <f>'Intermediate Calcs'!F162</f>
        <v>hours</v>
      </c>
      <c r="E112" s="327">
        <f>'Intermediate Calcs'!G162</f>
        <v>102.89925000000001</v>
      </c>
      <c r="F112" s="328" t="s">
        <v>470</v>
      </c>
    </row>
    <row r="113" spans="1:6">
      <c r="A113" s="293"/>
      <c r="B113" s="112"/>
      <c r="C113" s="301" t="str">
        <f>'Intermediate Calcs'!E163</f>
        <v>Travel Time Savings (Hotel)</v>
      </c>
      <c r="D113" s="301" t="str">
        <f>'Intermediate Calcs'!F163</f>
        <v>hours</v>
      </c>
      <c r="E113" s="327">
        <f>'Intermediate Calcs'!G163</f>
        <v>136.66666666666666</v>
      </c>
      <c r="F113" s="328" t="s">
        <v>470</v>
      </c>
    </row>
    <row r="114" spans="1:6" ht="38.25">
      <c r="A114" s="293"/>
      <c r="C114" s="301" t="str">
        <f>'Intermediate Calcs'!E161</f>
        <v>Value of Walking Time</v>
      </c>
      <c r="D114" s="301" t="str">
        <f>'Intermediate Calcs'!F161</f>
        <v>2022 $/ hour</v>
      </c>
      <c r="E114" s="326">
        <f>'Intermediate Calcs'!G161</f>
        <v>35.799999999999997</v>
      </c>
      <c r="F114" s="301" t="s">
        <v>92</v>
      </c>
    </row>
    <row r="115" spans="1:6">
      <c r="A115" s="293"/>
      <c r="B115" s="112"/>
      <c r="C115" s="300"/>
      <c r="D115" s="300"/>
      <c r="E115" s="300"/>
      <c r="F115" s="329"/>
    </row>
    <row r="116" spans="1:6">
      <c r="A116" s="293"/>
      <c r="C116" s="113" t="s">
        <v>403</v>
      </c>
    </row>
    <row r="117" spans="1:6">
      <c r="A117" s="293"/>
      <c r="C117" s="295"/>
      <c r="D117" s="317" t="s">
        <v>147</v>
      </c>
      <c r="E117" s="318" t="s">
        <v>148</v>
      </c>
      <c r="F117" s="296"/>
    </row>
    <row r="118" spans="1:6">
      <c r="A118" s="293"/>
      <c r="C118" s="301" t="s">
        <v>139</v>
      </c>
      <c r="D118" s="321">
        <f>'BCA Summary'!H16/10^6</f>
        <v>3.5707300253720269</v>
      </c>
      <c r="E118" s="321">
        <f>'BCA Summary'!H29/10^6</f>
        <v>2.3039823964330779</v>
      </c>
      <c r="F118" s="305"/>
    </row>
    <row r="119" spans="1:6">
      <c r="A119" s="293"/>
    </row>
    <row r="120" spans="1:6">
      <c r="C120" s="113" t="s">
        <v>404</v>
      </c>
    </row>
    <row r="121" spans="1:6">
      <c r="C121" s="295" t="s">
        <v>39</v>
      </c>
      <c r="D121" s="317" t="s">
        <v>41</v>
      </c>
      <c r="E121" s="318" t="s">
        <v>65</v>
      </c>
      <c r="F121" s="318" t="s">
        <v>151</v>
      </c>
    </row>
    <row r="122" spans="1:6">
      <c r="C122" s="301" t="str">
        <f>'Project Assumptions'!E56</f>
        <v>Cycling health benefits</v>
      </c>
      <c r="D122" s="301" t="str">
        <f>'Project Assumptions'!F56</f>
        <v>2022 $ / trip</v>
      </c>
      <c r="E122" s="301">
        <f>'Project Assumptions'!G56</f>
        <v>6.8</v>
      </c>
      <c r="F122" s="388" t="str">
        <f>'Project Assumptions'!H56</f>
        <v>USDOT Benefit-Cost Analysis Guidance for Discretionary Grant Programs - December 2023</v>
      </c>
    </row>
    <row r="123" spans="1:6" ht="39" customHeight="1">
      <c r="C123" s="301" t="str">
        <f>'Project Assumptions'!E57</f>
        <v>Induced Trips within Applicable Age Range (20-64) - Cycling</v>
      </c>
      <c r="D123" s="301" t="str">
        <f>'Project Assumptions'!F57</f>
        <v>percent</v>
      </c>
      <c r="E123" s="301">
        <f>'Project Assumptions'!G57</f>
        <v>0.59</v>
      </c>
      <c r="F123" s="389"/>
    </row>
    <row r="124" spans="1:6" ht="25.5">
      <c r="C124" s="301" t="str">
        <f>'Project Assumptions'!E58</f>
        <v>Proportion of Trips Induced from non-active transportation modes</v>
      </c>
      <c r="D124" s="301" t="str">
        <f>'Project Assumptions'!F58</f>
        <v>percent</v>
      </c>
      <c r="E124" s="301">
        <f>'Project Assumptions'!G58</f>
        <v>0.89</v>
      </c>
      <c r="F124" s="390"/>
    </row>
    <row r="126" spans="1:6">
      <c r="C126" s="113" t="s">
        <v>406</v>
      </c>
    </row>
    <row r="127" spans="1:6">
      <c r="C127" s="295" t="s">
        <v>478</v>
      </c>
      <c r="D127" s="295" t="s">
        <v>479</v>
      </c>
      <c r="E127" s="317" t="s">
        <v>147</v>
      </c>
      <c r="F127" s="318" t="s">
        <v>148</v>
      </c>
    </row>
    <row r="128" spans="1:6">
      <c r="C128" s="323" t="s">
        <v>474</v>
      </c>
      <c r="D128" s="374">
        <f>'Intermediate Calcs'!H79</f>
        <v>533.75576199388797</v>
      </c>
      <c r="E128" s="376">
        <f>'Intermediate Calcs'!H87</f>
        <v>152419.69626407122</v>
      </c>
      <c r="F128" s="376">
        <f>'Intermediate Calcs'!H94</f>
        <v>113529.81597743263</v>
      </c>
    </row>
    <row r="129" spans="1:6">
      <c r="C129" s="323" t="s">
        <v>475</v>
      </c>
      <c r="D129" s="375">
        <f>'Intermediate Calcs'!H80</f>
        <v>2.5141871043093324E-2</v>
      </c>
      <c r="E129" s="376">
        <f>'Intermediate Calcs'!H88</f>
        <v>550.61998177998714</v>
      </c>
      <c r="F129" s="376">
        <f>'Intermediate Calcs'!H95</f>
        <v>400.95856783436005</v>
      </c>
    </row>
    <row r="130" spans="1:6">
      <c r="C130" s="323" t="s">
        <v>476</v>
      </c>
      <c r="D130" s="375">
        <f>'Intermediate Calcs'!H81</f>
        <v>1.3588451173702318E-3</v>
      </c>
      <c r="E130" s="376">
        <f>'Intermediate Calcs'!H89</f>
        <v>1449.0477253097802</v>
      </c>
      <c r="F130" s="376">
        <f>'Intermediate Calcs'!H96</f>
        <v>957.87927481709221</v>
      </c>
    </row>
    <row r="131" spans="1:6">
      <c r="C131" s="323" t="s">
        <v>477</v>
      </c>
      <c r="D131" s="375">
        <f>'Intermediate Calcs'!H82</f>
        <v>2.7612135020319149E-3</v>
      </c>
      <c r="E131" s="376">
        <f>'Intermediate Calcs'!H90</f>
        <v>169.38906923757742</v>
      </c>
      <c r="F131" s="376">
        <f>'Intermediate Calcs'!H97</f>
        <v>109.62458013805282</v>
      </c>
    </row>
    <row r="132" spans="1:6">
      <c r="A132" s="293"/>
      <c r="C132" s="377" t="s">
        <v>139</v>
      </c>
      <c r="D132" s="374">
        <f>SUM(D128:D131)</f>
        <v>533.7850239235504</v>
      </c>
      <c r="E132" s="376">
        <f>'Intermediate Calcs'!H91</f>
        <v>154588.7530403985</v>
      </c>
      <c r="F132" s="376">
        <f ca="1">SUM(F128:F131)</f>
        <v>114998.27840022215</v>
      </c>
    </row>
    <row r="134" spans="1:6">
      <c r="C134" s="113" t="s">
        <v>405</v>
      </c>
      <c r="D134" s="330"/>
      <c r="E134" s="331"/>
      <c r="F134" s="305"/>
    </row>
    <row r="135" spans="1:6">
      <c r="A135" s="293"/>
      <c r="C135" s="295" t="s">
        <v>39</v>
      </c>
      <c r="D135" s="317" t="s">
        <v>41</v>
      </c>
      <c r="E135" s="318" t="s">
        <v>65</v>
      </c>
      <c r="F135" s="318" t="s">
        <v>151</v>
      </c>
    </row>
    <row r="136" spans="1:6" ht="51">
      <c r="A136" s="293"/>
      <c r="C136" s="323" t="str">
        <f>'Project Assumptions'!E44</f>
        <v>Average Bike Distance</v>
      </c>
      <c r="D136" s="323" t="str">
        <f>'Project Assumptions'!F44</f>
        <v>miles</v>
      </c>
      <c r="E136" s="323">
        <f>'Project Assumptions'!G44</f>
        <v>2.38</v>
      </c>
      <c r="F136" s="323" t="str">
        <f>'Project Assumptions'!H44</f>
        <v>USDOT Benefit-Cost Analysis Guidance for Discretionary Grant Programs - December 2023; 2017 National Household Travel Survey</v>
      </c>
    </row>
    <row r="137" spans="1:6">
      <c r="A137" s="293"/>
      <c r="C137" s="305"/>
      <c r="D137" s="305"/>
      <c r="E137" s="305"/>
      <c r="F137" s="305"/>
    </row>
    <row r="138" spans="1:6">
      <c r="A138" s="293"/>
      <c r="C138" s="113" t="s">
        <v>408</v>
      </c>
      <c r="D138" s="305"/>
      <c r="E138" s="305"/>
      <c r="F138" s="305"/>
    </row>
    <row r="139" spans="1:6">
      <c r="A139" s="293"/>
      <c r="C139" s="295" t="s">
        <v>451</v>
      </c>
      <c r="D139" s="317" t="s">
        <v>147</v>
      </c>
      <c r="E139" s="318" t="s">
        <v>148</v>
      </c>
      <c r="F139" s="305"/>
    </row>
    <row r="140" spans="1:6">
      <c r="A140" s="293"/>
      <c r="C140" s="315" t="s">
        <v>139</v>
      </c>
      <c r="D140" s="321">
        <f>'BCA Summary'!H19/10^6</f>
        <v>43.078112294827619</v>
      </c>
      <c r="E140" s="321">
        <f>'BCA Summary'!H32/10^6</f>
        <v>27.485121475283769</v>
      </c>
      <c r="F140" s="305"/>
    </row>
    <row r="141" spans="1:6">
      <c r="A141" s="293"/>
      <c r="C141" s="296"/>
      <c r="D141" s="322"/>
      <c r="E141" s="322"/>
      <c r="F141" s="305"/>
    </row>
    <row r="142" spans="1:6">
      <c r="A142" s="293"/>
      <c r="C142" s="296" t="s">
        <v>480</v>
      </c>
      <c r="D142" s="322"/>
      <c r="E142" s="322"/>
    </row>
    <row r="143" spans="1:6">
      <c r="A143" s="293"/>
      <c r="C143" s="295" t="s">
        <v>39</v>
      </c>
      <c r="D143" s="317" t="s">
        <v>147</v>
      </c>
      <c r="E143" s="318" t="s">
        <v>148</v>
      </c>
    </row>
    <row r="144" spans="1:6">
      <c r="A144" s="293"/>
      <c r="C144" s="323" t="s">
        <v>480</v>
      </c>
      <c r="D144" s="321">
        <f>'BCA Summary'!H11/10^6</f>
        <v>-0.77209457547169769</v>
      </c>
      <c r="E144" s="321">
        <f>'BCA Summary'!H24/10^6</f>
        <v>-0.50163506437639149</v>
      </c>
    </row>
    <row r="145" spans="1:6">
      <c r="A145" s="293"/>
      <c r="C145" s="296"/>
      <c r="D145" s="322"/>
      <c r="E145" s="322"/>
    </row>
    <row r="146" spans="1:6">
      <c r="A146" s="293"/>
      <c r="C146" s="296" t="s">
        <v>48</v>
      </c>
      <c r="D146" s="322"/>
      <c r="E146" s="322"/>
      <c r="F146" s="305"/>
    </row>
    <row r="147" spans="1:6" ht="14.45" customHeight="1">
      <c r="A147" s="293"/>
      <c r="C147" s="400" t="s">
        <v>39</v>
      </c>
      <c r="D147" s="399" t="s">
        <v>153</v>
      </c>
      <c r="E147" s="399"/>
      <c r="F147" s="305"/>
    </row>
    <row r="148" spans="1:6">
      <c r="A148" s="293"/>
      <c r="C148" s="400"/>
      <c r="D148" s="378" t="s">
        <v>147</v>
      </c>
      <c r="E148" s="378" t="s">
        <v>409</v>
      </c>
      <c r="F148" s="305"/>
    </row>
    <row r="149" spans="1:6">
      <c r="A149" s="293"/>
      <c r="C149" s="323" t="s">
        <v>48</v>
      </c>
      <c r="D149" s="321">
        <f>'BCA Summary'!H13/10^6</f>
        <v>8.7326473171723045</v>
      </c>
      <c r="E149" s="321">
        <f>'BCA Summary'!H26/10^6</f>
        <v>7.4963972792967457</v>
      </c>
      <c r="F149" s="305"/>
    </row>
    <row r="150" spans="1:6">
      <c r="A150" s="293"/>
      <c r="C150" s="296"/>
      <c r="D150" s="322"/>
      <c r="E150" s="322"/>
      <c r="F150" s="305"/>
    </row>
    <row r="151" spans="1:6">
      <c r="A151" s="293"/>
      <c r="D151" s="330"/>
      <c r="E151" s="331"/>
      <c r="F151" s="305"/>
    </row>
    <row r="152" spans="1:6">
      <c r="A152" s="293"/>
      <c r="C152" s="113" t="s">
        <v>407</v>
      </c>
      <c r="D152" s="330"/>
      <c r="E152" s="331"/>
      <c r="F152" s="305"/>
    </row>
    <row r="153" spans="1:6">
      <c r="A153" s="293"/>
      <c r="C153" s="295" t="s">
        <v>39</v>
      </c>
      <c r="D153" s="317" t="s">
        <v>41</v>
      </c>
      <c r="E153" s="318" t="s">
        <v>65</v>
      </c>
      <c r="F153" s="318" t="s">
        <v>151</v>
      </c>
    </row>
    <row r="154" spans="1:6">
      <c r="A154" s="293"/>
      <c r="C154" s="323" t="str">
        <f>'Project Assumptions'!E47</f>
        <v>Parking Units</v>
      </c>
      <c r="D154" s="323" t="str">
        <f>'Project Assumptions'!F47</f>
        <v>units</v>
      </c>
      <c r="E154" s="323">
        <f>'Project Assumptions'!G47</f>
        <v>649</v>
      </c>
      <c r="F154" s="323" t="str">
        <f>'Project Assumptions'!H47</f>
        <v>City of Covington</v>
      </c>
    </row>
    <row r="155" spans="1:6" ht="25.5">
      <c r="A155" s="293"/>
      <c r="C155" s="323" t="str">
        <f>'Project Assumptions'!E48</f>
        <v>Distance to Covington Plaza Parking Garage (Alternative)</v>
      </c>
      <c r="D155" s="323" t="str">
        <f>'Project Assumptions'!F48</f>
        <v>miles</v>
      </c>
      <c r="E155" s="323">
        <f>'Project Assumptions'!G48</f>
        <v>0.3</v>
      </c>
      <c r="F155" s="323" t="str">
        <f>'Project Assumptions'!H48</f>
        <v>Google Maps</v>
      </c>
    </row>
    <row r="156" spans="1:6" ht="25.5">
      <c r="A156" s="293"/>
      <c r="C156" s="323" t="str">
        <f>'Project Assumptions'!E49</f>
        <v>Distance to Kenton County Parking (Phase II)</v>
      </c>
      <c r="D156" s="323" t="str">
        <f>'Project Assumptions'!F49</f>
        <v>miles</v>
      </c>
      <c r="E156" s="323">
        <f>'Project Assumptions'!G49</f>
        <v>0.01</v>
      </c>
      <c r="F156" s="323" t="str">
        <f>'Project Assumptions'!H49</f>
        <v>Google Maps</v>
      </c>
    </row>
    <row r="157" spans="1:6">
      <c r="A157" s="293"/>
      <c r="C157" s="323" t="str">
        <f>'Project Assumptions'!E50</f>
        <v>Trips</v>
      </c>
      <c r="D157" s="323" t="str">
        <f>'Project Assumptions'!F50</f>
        <v>trips</v>
      </c>
      <c r="E157" s="323">
        <f>'Project Assumptions'!G50</f>
        <v>2</v>
      </c>
      <c r="F157" s="323" t="str">
        <f>'Project Assumptions'!H50</f>
        <v>Project Assumption</v>
      </c>
    </row>
    <row r="158" spans="1:6">
      <c r="B158" s="112"/>
      <c r="C158" s="323" t="str">
        <f>'Project Assumptions'!E51</f>
        <v>Walking Speed</v>
      </c>
      <c r="D158" s="323" t="str">
        <f>'Project Assumptions'!F51</f>
        <v>miles per hour</v>
      </c>
      <c r="E158" s="323">
        <f>'Project Assumptions'!G51</f>
        <v>3.2</v>
      </c>
      <c r="F158" s="323" t="str">
        <f>'Project Assumptions'!H51</f>
        <v>BCA Assumption</v>
      </c>
    </row>
    <row r="159" spans="1:6" ht="38.25">
      <c r="B159" s="112"/>
      <c r="C159" s="323" t="s">
        <v>473</v>
      </c>
      <c r="D159" s="323" t="s">
        <v>91</v>
      </c>
      <c r="E159" s="323">
        <f>'Project Assumptions'!G52</f>
        <v>1.67</v>
      </c>
      <c r="F159" s="323" t="str">
        <f>'Project Assumptions'!H52</f>
        <v>USDOT Benefit-Cost Analysis Guidance for Discretionary Grant Programs - December 2023</v>
      </c>
    </row>
    <row r="160" spans="1:6">
      <c r="B160" s="112"/>
      <c r="C160" s="305"/>
      <c r="D160" s="305"/>
      <c r="E160" s="305"/>
      <c r="F160" s="305"/>
    </row>
    <row r="161" spans="1:6">
      <c r="B161" s="112"/>
      <c r="C161" s="113" t="s">
        <v>390</v>
      </c>
    </row>
    <row r="162" spans="1:6">
      <c r="A162" s="293"/>
      <c r="C162" s="395" t="s">
        <v>152</v>
      </c>
      <c r="D162" s="401" t="s">
        <v>153</v>
      </c>
      <c r="E162" s="402"/>
    </row>
    <row r="163" spans="1:6">
      <c r="A163" s="293"/>
      <c r="C163" s="395"/>
      <c r="D163" s="295" t="s">
        <v>147</v>
      </c>
      <c r="E163" s="295" t="s">
        <v>409</v>
      </c>
      <c r="F163" s="113"/>
    </row>
    <row r="164" spans="1:6">
      <c r="A164" s="293"/>
      <c r="C164" s="332" t="s">
        <v>29</v>
      </c>
      <c r="D164" s="312">
        <f>SUM(D165:D173)</f>
        <v>109.60256140752168</v>
      </c>
      <c r="E164" s="312">
        <f>SUM(E165:E173)</f>
        <v>70.958950285098879</v>
      </c>
      <c r="F164" s="333"/>
    </row>
    <row r="165" spans="1:6">
      <c r="A165" s="293"/>
      <c r="C165" s="189" t="str">
        <f>'BCA Summary'!E11</f>
        <v>O&amp;M and R&amp;R Cost Savings</v>
      </c>
      <c r="D165" s="326">
        <f>'BCA Summary'!H11/10^6</f>
        <v>-0.77209457547169769</v>
      </c>
      <c r="E165" s="326">
        <f>'BCA Summary'!H24/10^6</f>
        <v>-0.50163506437639149</v>
      </c>
    </row>
    <row r="166" spans="1:6">
      <c r="A166" s="293"/>
      <c r="C166" s="189" t="str">
        <f>'BCA Summary'!E12</f>
        <v>Residual Value</v>
      </c>
      <c r="D166" s="299">
        <f>'BCA Summary'!H12/10^6</f>
        <v>6.0088173913043486</v>
      </c>
      <c r="E166" s="299">
        <f>'BCA Summary'!H25/10^6</f>
        <v>2.8878926083230438</v>
      </c>
    </row>
    <row r="167" spans="1:6">
      <c r="A167" s="293"/>
      <c r="C167" s="189" t="str">
        <f>'BCA Summary'!E13</f>
        <v>Repurposed ROW (Value of Air Rights Created)</v>
      </c>
      <c r="D167" s="299">
        <f>'BCA Summary'!H13/10^6</f>
        <v>8.7326473171723045</v>
      </c>
      <c r="E167" s="299">
        <f>'BCA Summary'!H26/10^6</f>
        <v>7.4963972792967457</v>
      </c>
    </row>
    <row r="168" spans="1:6">
      <c r="A168" s="293"/>
      <c r="C168" s="189" t="str">
        <f>'BCA Summary'!E14</f>
        <v>Pedestrian Amenity Benefits</v>
      </c>
      <c r="D168" s="299">
        <f>'BCA Summary'!H14/10^6</f>
        <v>0.37516879422000249</v>
      </c>
      <c r="E168" s="299">
        <f>'BCA Summary'!H27/10^6</f>
        <v>0.23949761398606878</v>
      </c>
    </row>
    <row r="169" spans="1:6">
      <c r="A169" s="293"/>
      <c r="C169" s="189" t="str">
        <f>'BCA Summary'!E15</f>
        <v>Cycling Amenity benefits</v>
      </c>
      <c r="D169" s="299">
        <f>'BCA Summary'!H15/10^6</f>
        <v>0.40300564604639089</v>
      </c>
      <c r="E169" s="299">
        <f>'BCA Summary'!H28/10^6</f>
        <v>0.26003587713335569</v>
      </c>
    </row>
    <row r="170" spans="1:6">
      <c r="A170" s="293"/>
      <c r="C170" s="189" t="str">
        <f>'BCA Summary'!E16</f>
        <v>Health Benefits</v>
      </c>
      <c r="D170" s="299">
        <f>'BCA Summary'!H16/10^6</f>
        <v>3.5707300253720269</v>
      </c>
      <c r="E170" s="299">
        <f>'BCA Summary'!H29/10^6</f>
        <v>2.3039823964330779</v>
      </c>
    </row>
    <row r="171" spans="1:6">
      <c r="A171" s="293"/>
      <c r="C171" s="189" t="str">
        <f>'BCA Summary'!E17</f>
        <v>Plaza benefits</v>
      </c>
      <c r="D171" s="299">
        <f>'BCA Summary'!H17/10^6</f>
        <v>48.05158576101028</v>
      </c>
      <c r="E171" s="299">
        <f>'BCA Summary'!H30/10^6</f>
        <v>30.672659820618986</v>
      </c>
    </row>
    <row r="172" spans="1:6">
      <c r="A172" s="293"/>
      <c r="C172" s="189" t="str">
        <f>'BCA Summary'!E18</f>
        <v>Emissions Savings</v>
      </c>
      <c r="D172" s="299">
        <f>'BCA Summary'!H18/10^6</f>
        <v>0.15458875304039851</v>
      </c>
      <c r="E172" s="299">
        <f>'BCA Summary'!H31/10^6</f>
        <v>0.11499827840022211</v>
      </c>
    </row>
    <row r="173" spans="1:6">
      <c r="A173" s="293"/>
      <c r="C173" s="189" t="str">
        <f>'BCA Summary'!E19</f>
        <v>Parking Benefits</v>
      </c>
      <c r="D173" s="299">
        <f>'BCA Summary'!H19/10^6</f>
        <v>43.078112294827619</v>
      </c>
      <c r="E173" s="299">
        <f>'BCA Summary'!H32/10^6</f>
        <v>27.485121475283769</v>
      </c>
    </row>
    <row r="174" spans="1:6">
      <c r="A174" s="293"/>
      <c r="C174" s="332" t="s">
        <v>30</v>
      </c>
      <c r="D174" s="299">
        <f>'BCA Summary'!H38/10^6</f>
        <v>48.972907979723196</v>
      </c>
      <c r="E174" s="299">
        <f>'BCA Summary'!H41/10^6</f>
        <v>44.613733666987528</v>
      </c>
    </row>
    <row r="175" spans="1:6">
      <c r="A175" s="293"/>
      <c r="C175" s="332" t="s">
        <v>154</v>
      </c>
      <c r="D175" s="312">
        <f>D164-D174</f>
        <v>60.62965342779848</v>
      </c>
      <c r="E175" s="312">
        <f>E164-E174</f>
        <v>26.345216618111351</v>
      </c>
    </row>
    <row r="176" spans="1:6">
      <c r="A176" s="293"/>
      <c r="C176" s="332" t="s">
        <v>155</v>
      </c>
      <c r="D176" s="334">
        <f>D164/D174</f>
        <v>2.2380243675319762</v>
      </c>
      <c r="E176" s="334">
        <f>E164/E174</f>
        <v>1.5905180860844608</v>
      </c>
    </row>
    <row r="177" spans="1:9">
      <c r="A177" s="293"/>
      <c r="C177" s="332" t="s">
        <v>156</v>
      </c>
      <c r="D177" s="393">
        <f>'BCA Summary'!G47</f>
        <v>7.7900137923797352E-2</v>
      </c>
      <c r="E177" s="394"/>
      <c r="F177" s="113"/>
    </row>
    <row r="178" spans="1:9">
      <c r="A178" s="293"/>
      <c r="C178" s="332" t="s">
        <v>157</v>
      </c>
      <c r="D178" s="391">
        <f>'BCA Summary'!G48</f>
        <v>10</v>
      </c>
      <c r="E178" s="392"/>
      <c r="F178" s="335"/>
    </row>
    <row r="179" spans="1:9">
      <c r="A179" s="293"/>
    </row>
    <row r="180" spans="1:9">
      <c r="A180" s="293"/>
      <c r="B180" s="112"/>
    </row>
    <row r="181" spans="1:9">
      <c r="C181" s="113" t="s">
        <v>413</v>
      </c>
    </row>
    <row r="182" spans="1:9">
      <c r="C182" s="295" t="s">
        <v>158</v>
      </c>
      <c r="D182" s="295" t="s">
        <v>159</v>
      </c>
      <c r="E182" s="295" t="s">
        <v>32</v>
      </c>
      <c r="F182" s="295" t="s">
        <v>411</v>
      </c>
      <c r="G182" s="295" t="s">
        <v>160</v>
      </c>
      <c r="H182" s="295" t="s">
        <v>161</v>
      </c>
    </row>
    <row r="183" spans="1:9" ht="28.5">
      <c r="C183" s="380" t="s">
        <v>162</v>
      </c>
      <c r="D183" s="381" t="s">
        <v>410</v>
      </c>
      <c r="E183" s="382">
        <f>E176</f>
        <v>1.5905180860844608</v>
      </c>
      <c r="F183" s="383">
        <f>E175</f>
        <v>26.345216618111351</v>
      </c>
      <c r="G183" s="381" t="s">
        <v>410</v>
      </c>
      <c r="H183" s="384" t="s">
        <v>163</v>
      </c>
    </row>
    <row r="184" spans="1:9" ht="25.5">
      <c r="C184" s="298" t="s">
        <v>412</v>
      </c>
      <c r="D184" s="301" t="s">
        <v>481</v>
      </c>
      <c r="E184" s="327">
        <v>2.0463921454465082</v>
      </c>
      <c r="F184" s="320">
        <v>46.683460488178198</v>
      </c>
      <c r="G184" s="336">
        <f>(F184-F$183)/F$183</f>
        <v>0.77199000353199088</v>
      </c>
      <c r="H184" s="337" t="s">
        <v>482</v>
      </c>
    </row>
    <row r="185" spans="1:9" ht="51">
      <c r="C185" s="298" t="s">
        <v>48</v>
      </c>
      <c r="D185" s="379" t="s">
        <v>483</v>
      </c>
      <c r="E185" s="327">
        <v>1.5162321540912822</v>
      </c>
      <c r="F185" s="320">
        <v>23.031043832963732</v>
      </c>
      <c r="G185" s="336">
        <f>(F185-F$183)/F$183</f>
        <v>-0.12579789466863783</v>
      </c>
      <c r="H185" s="337" t="s">
        <v>484</v>
      </c>
      <c r="I185" s="293"/>
    </row>
    <row r="186" spans="1:9" ht="42" customHeight="1">
      <c r="C186" s="298" t="s">
        <v>485</v>
      </c>
      <c r="D186" s="301" t="s">
        <v>486</v>
      </c>
      <c r="E186" s="327">
        <v>1.629724985482901</v>
      </c>
      <c r="F186" s="320">
        <v>28.094382785781733</v>
      </c>
      <c r="G186" s="336">
        <f>(F186-F$183)/F$183</f>
        <v>6.6394070431286381E-2</v>
      </c>
      <c r="H186" s="337" t="s">
        <v>487</v>
      </c>
      <c r="I186" s="293"/>
    </row>
    <row r="187" spans="1:9">
      <c r="I187" s="293"/>
    </row>
    <row r="189" spans="1:9">
      <c r="C189" s="294"/>
    </row>
    <row r="191" spans="1:9" ht="13.15" customHeight="1"/>
    <row r="192" spans="1:9" ht="42.4" customHeight="1"/>
    <row r="193" ht="27" customHeight="1"/>
    <row r="194" ht="42.4" customHeight="1"/>
    <row r="196" ht="41.65" customHeight="1"/>
  </sheetData>
  <mergeCells count="23">
    <mergeCell ref="D178:E178"/>
    <mergeCell ref="D177:E177"/>
    <mergeCell ref="C30:C31"/>
    <mergeCell ref="F75:F82"/>
    <mergeCell ref="F105:F108"/>
    <mergeCell ref="F110:F111"/>
    <mergeCell ref="D147:E147"/>
    <mergeCell ref="C147:C148"/>
    <mergeCell ref="F84:F85"/>
    <mergeCell ref="F90:F91"/>
    <mergeCell ref="F122:F124"/>
    <mergeCell ref="C162:C163"/>
    <mergeCell ref="D162:E162"/>
    <mergeCell ref="F61:F64"/>
    <mergeCell ref="C9:C11"/>
    <mergeCell ref="D9:D11"/>
    <mergeCell ref="E9:E11"/>
    <mergeCell ref="E5:E6"/>
    <mergeCell ref="C3:C4"/>
    <mergeCell ref="D3:D4"/>
    <mergeCell ref="E3:E4"/>
    <mergeCell ref="C5:C8"/>
    <mergeCell ref="D5:D8"/>
  </mergeCell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8787F-8DF7-4898-A4BA-3CA1E559C8DF}">
  <sheetPr>
    <tabColor theme="6"/>
  </sheetPr>
  <dimension ref="A1:I53"/>
  <sheetViews>
    <sheetView showGridLines="0" zoomScale="85" zoomScaleNormal="85" workbookViewId="0"/>
  </sheetViews>
  <sheetFormatPr defaultRowHeight="15"/>
  <cols>
    <col min="1" max="3" width="3" customWidth="1"/>
    <col min="4" max="4" width="5.28515625" customWidth="1"/>
    <col min="5" max="5" width="13.5703125" customWidth="1"/>
    <col min="6" max="9" width="10.5703125" customWidth="1"/>
  </cols>
  <sheetData>
    <row r="1" spans="1:9">
      <c r="A1" s="12" t="s">
        <v>16</v>
      </c>
    </row>
    <row r="3" spans="1:9">
      <c r="A3" s="55" t="s">
        <v>17</v>
      </c>
      <c r="F3" s="56"/>
      <c r="G3" s="56"/>
      <c r="H3" s="56"/>
      <c r="I3" s="56"/>
    </row>
    <row r="4" spans="1:9">
      <c r="E4" s="21" t="s">
        <v>18</v>
      </c>
      <c r="F4" s="21" t="s">
        <v>19</v>
      </c>
      <c r="G4" s="21" t="s">
        <v>20</v>
      </c>
      <c r="H4" s="21" t="s">
        <v>21</v>
      </c>
      <c r="I4" s="21" t="s">
        <v>22</v>
      </c>
    </row>
    <row r="5" spans="1:9">
      <c r="E5" s="19">
        <v>2022</v>
      </c>
      <c r="F5" s="57">
        <v>19800</v>
      </c>
      <c r="G5" s="57">
        <v>52900</v>
      </c>
      <c r="H5" s="57">
        <v>951000</v>
      </c>
      <c r="I5" s="57">
        <v>228</v>
      </c>
    </row>
    <row r="6" spans="1:9">
      <c r="E6" s="19">
        <v>2023</v>
      </c>
      <c r="F6" s="57">
        <v>20100</v>
      </c>
      <c r="G6" s="57">
        <v>53800</v>
      </c>
      <c r="H6" s="57">
        <v>963200</v>
      </c>
      <c r="I6" s="57">
        <v>228</v>
      </c>
    </row>
    <row r="7" spans="1:9">
      <c r="E7" s="19">
        <v>2024</v>
      </c>
      <c r="F7" s="57">
        <v>20300</v>
      </c>
      <c r="G7" s="57">
        <v>54800</v>
      </c>
      <c r="H7" s="57">
        <v>975500</v>
      </c>
      <c r="I7" s="57">
        <v>233</v>
      </c>
    </row>
    <row r="8" spans="1:9">
      <c r="E8" s="19">
        <v>2025</v>
      </c>
      <c r="F8" s="57">
        <v>20600</v>
      </c>
      <c r="G8" s="57">
        <v>56100</v>
      </c>
      <c r="H8" s="57">
        <v>993500</v>
      </c>
      <c r="I8" s="57">
        <v>237</v>
      </c>
    </row>
    <row r="9" spans="1:9">
      <c r="E9" s="19">
        <v>2026</v>
      </c>
      <c r="F9" s="57">
        <v>21000</v>
      </c>
      <c r="G9" s="57">
        <v>57400</v>
      </c>
      <c r="H9" s="57">
        <v>1011900</v>
      </c>
      <c r="I9" s="57">
        <v>241</v>
      </c>
    </row>
    <row r="10" spans="1:9">
      <c r="E10" s="19">
        <v>2027</v>
      </c>
      <c r="F10" s="57">
        <v>21300</v>
      </c>
      <c r="G10" s="57">
        <v>58700</v>
      </c>
      <c r="H10" s="57">
        <v>1030600</v>
      </c>
      <c r="I10" s="57">
        <v>245</v>
      </c>
    </row>
    <row r="11" spans="1:9">
      <c r="E11" s="19">
        <v>2028</v>
      </c>
      <c r="F11" s="57">
        <v>21700</v>
      </c>
      <c r="G11" s="57">
        <v>60100</v>
      </c>
      <c r="H11" s="57">
        <v>1049600</v>
      </c>
      <c r="I11" s="57">
        <v>250</v>
      </c>
    </row>
    <row r="12" spans="1:9">
      <c r="E12" s="19">
        <v>2029</v>
      </c>
      <c r="F12" s="57">
        <v>22000</v>
      </c>
      <c r="G12" s="57">
        <v>61500</v>
      </c>
      <c r="H12" s="57">
        <v>1069000</v>
      </c>
      <c r="I12" s="57">
        <v>253</v>
      </c>
    </row>
    <row r="13" spans="1:9">
      <c r="E13" s="19">
        <v>2030</v>
      </c>
      <c r="F13" s="57">
        <v>22000</v>
      </c>
      <c r="G13" s="57">
        <v>61500</v>
      </c>
      <c r="H13" s="57">
        <v>1069000</v>
      </c>
      <c r="I13" s="57">
        <v>257</v>
      </c>
    </row>
    <row r="14" spans="1:9">
      <c r="E14" s="19">
        <v>2031</v>
      </c>
      <c r="F14" s="57">
        <v>22000</v>
      </c>
      <c r="G14" s="57">
        <v>61500</v>
      </c>
      <c r="H14" s="57">
        <v>1069000</v>
      </c>
      <c r="I14" s="57">
        <v>262</v>
      </c>
    </row>
    <row r="15" spans="1:9">
      <c r="E15" s="19">
        <v>2032</v>
      </c>
      <c r="F15" s="57">
        <v>22000</v>
      </c>
      <c r="G15" s="57">
        <v>61500</v>
      </c>
      <c r="H15" s="57">
        <v>1069000</v>
      </c>
      <c r="I15" s="57">
        <v>265</v>
      </c>
    </row>
    <row r="16" spans="1:9">
      <c r="E16" s="19">
        <v>2033</v>
      </c>
      <c r="F16" s="57">
        <v>22000</v>
      </c>
      <c r="G16" s="57">
        <v>61500</v>
      </c>
      <c r="H16" s="57">
        <v>1069000</v>
      </c>
      <c r="I16" s="57">
        <v>270</v>
      </c>
    </row>
    <row r="17" spans="5:9">
      <c r="E17" s="19">
        <v>2034</v>
      </c>
      <c r="F17" s="57">
        <v>22000</v>
      </c>
      <c r="G17" s="57">
        <v>61500</v>
      </c>
      <c r="H17" s="57">
        <v>1069000</v>
      </c>
      <c r="I17" s="57">
        <v>274</v>
      </c>
    </row>
    <row r="18" spans="5:9">
      <c r="E18" s="19">
        <v>2035</v>
      </c>
      <c r="F18" s="57">
        <v>22000</v>
      </c>
      <c r="G18" s="57">
        <v>61500</v>
      </c>
      <c r="H18" s="57">
        <v>1069000</v>
      </c>
      <c r="I18" s="57">
        <v>278</v>
      </c>
    </row>
    <row r="19" spans="5:9">
      <c r="E19" s="19">
        <v>2036</v>
      </c>
      <c r="F19" s="57">
        <v>22000</v>
      </c>
      <c r="G19" s="57">
        <v>61500</v>
      </c>
      <c r="H19" s="57">
        <v>1069000</v>
      </c>
      <c r="I19" s="57">
        <v>282</v>
      </c>
    </row>
    <row r="20" spans="5:9">
      <c r="E20" s="19">
        <v>2037</v>
      </c>
      <c r="F20" s="57">
        <v>22000</v>
      </c>
      <c r="G20" s="57">
        <v>61500</v>
      </c>
      <c r="H20" s="57">
        <v>1069000</v>
      </c>
      <c r="I20" s="57">
        <v>287</v>
      </c>
    </row>
    <row r="21" spans="5:9">
      <c r="E21" s="19">
        <v>2038</v>
      </c>
      <c r="F21" s="57">
        <v>22000</v>
      </c>
      <c r="G21" s="57">
        <v>61500</v>
      </c>
      <c r="H21" s="57">
        <v>1069000</v>
      </c>
      <c r="I21" s="57">
        <v>290</v>
      </c>
    </row>
    <row r="22" spans="5:9">
      <c r="E22" s="19">
        <v>2039</v>
      </c>
      <c r="F22" s="57">
        <v>22000</v>
      </c>
      <c r="G22" s="57">
        <v>61500</v>
      </c>
      <c r="H22" s="57">
        <v>1069000</v>
      </c>
      <c r="I22" s="57">
        <v>294</v>
      </c>
    </row>
    <row r="23" spans="5:9">
      <c r="E23" s="19">
        <v>2040</v>
      </c>
      <c r="F23" s="57">
        <v>22000</v>
      </c>
      <c r="G23" s="57">
        <v>61500</v>
      </c>
      <c r="H23" s="57">
        <v>1069000</v>
      </c>
      <c r="I23" s="57">
        <v>299</v>
      </c>
    </row>
    <row r="24" spans="5:9">
      <c r="E24" s="19">
        <v>2041</v>
      </c>
      <c r="F24" s="57">
        <v>22000</v>
      </c>
      <c r="G24" s="57">
        <v>61500</v>
      </c>
      <c r="H24" s="57">
        <v>1069000</v>
      </c>
      <c r="I24" s="57">
        <v>303</v>
      </c>
    </row>
    <row r="25" spans="5:9">
      <c r="E25" s="19">
        <v>2042</v>
      </c>
      <c r="F25" s="57">
        <v>22000</v>
      </c>
      <c r="G25" s="57">
        <v>61500</v>
      </c>
      <c r="H25" s="57">
        <v>1069000</v>
      </c>
      <c r="I25" s="57">
        <v>308</v>
      </c>
    </row>
    <row r="26" spans="5:9">
      <c r="E26" s="19">
        <v>2043</v>
      </c>
      <c r="F26" s="57">
        <v>22000</v>
      </c>
      <c r="G26" s="57">
        <v>61500</v>
      </c>
      <c r="H26" s="57">
        <v>1069000</v>
      </c>
      <c r="I26" s="57">
        <v>312</v>
      </c>
    </row>
    <row r="27" spans="5:9">
      <c r="E27" s="19">
        <v>2044</v>
      </c>
      <c r="F27" s="57">
        <v>22000</v>
      </c>
      <c r="G27" s="57">
        <v>61500</v>
      </c>
      <c r="H27" s="57">
        <v>1069000</v>
      </c>
      <c r="I27" s="57">
        <v>317</v>
      </c>
    </row>
    <row r="28" spans="5:9">
      <c r="E28" s="19">
        <v>2045</v>
      </c>
      <c r="F28" s="57">
        <v>22000</v>
      </c>
      <c r="G28" s="57">
        <v>61500</v>
      </c>
      <c r="H28" s="57">
        <v>1069000</v>
      </c>
      <c r="I28" s="57">
        <v>321</v>
      </c>
    </row>
    <row r="29" spans="5:9">
      <c r="E29" s="19">
        <v>2046</v>
      </c>
      <c r="F29" s="57">
        <v>22000</v>
      </c>
      <c r="G29" s="57">
        <v>61500</v>
      </c>
      <c r="H29" s="57">
        <v>1069000</v>
      </c>
      <c r="I29" s="57">
        <v>326</v>
      </c>
    </row>
    <row r="30" spans="5:9">
      <c r="E30" s="19">
        <v>2047</v>
      </c>
      <c r="F30" s="57">
        <v>22000</v>
      </c>
      <c r="G30" s="57">
        <v>61500</v>
      </c>
      <c r="H30" s="57">
        <v>1069000</v>
      </c>
      <c r="I30" s="57">
        <v>331</v>
      </c>
    </row>
    <row r="31" spans="5:9">
      <c r="E31" s="19">
        <v>2048</v>
      </c>
      <c r="F31" s="57">
        <v>22000</v>
      </c>
      <c r="G31" s="57">
        <v>61500</v>
      </c>
      <c r="H31" s="57">
        <v>1069000</v>
      </c>
      <c r="I31" s="57">
        <v>336</v>
      </c>
    </row>
    <row r="32" spans="5:9">
      <c r="E32" s="19">
        <v>2049</v>
      </c>
      <c r="F32" s="57">
        <v>22000</v>
      </c>
      <c r="G32" s="57">
        <v>61500</v>
      </c>
      <c r="H32" s="57">
        <v>1069000</v>
      </c>
      <c r="I32" s="57">
        <v>340</v>
      </c>
    </row>
    <row r="33" spans="5:9">
      <c r="E33" s="19">
        <v>2050</v>
      </c>
      <c r="F33" s="57">
        <v>22000</v>
      </c>
      <c r="G33" s="57">
        <v>61500</v>
      </c>
      <c r="H33" s="57">
        <v>1069000</v>
      </c>
      <c r="I33" s="57">
        <v>345</v>
      </c>
    </row>
    <row r="34" spans="5:9">
      <c r="E34" s="19">
        <f t="shared" ref="E34:E50" si="0">E33+1</f>
        <v>2051</v>
      </c>
      <c r="F34" s="57">
        <v>22000</v>
      </c>
      <c r="G34" s="57">
        <v>61500</v>
      </c>
      <c r="H34" s="57">
        <v>1069000</v>
      </c>
      <c r="I34" s="57">
        <v>349</v>
      </c>
    </row>
    <row r="35" spans="5:9">
      <c r="E35" s="19">
        <f t="shared" si="0"/>
        <v>2052</v>
      </c>
      <c r="F35" s="57">
        <v>22000</v>
      </c>
      <c r="G35" s="57">
        <v>61500</v>
      </c>
      <c r="H35" s="57">
        <v>1069000</v>
      </c>
      <c r="I35" s="57">
        <v>353</v>
      </c>
    </row>
    <row r="36" spans="5:9">
      <c r="E36" s="19">
        <f t="shared" si="0"/>
        <v>2053</v>
      </c>
      <c r="F36" s="57">
        <v>22000</v>
      </c>
      <c r="G36" s="57">
        <v>61500</v>
      </c>
      <c r="H36" s="57">
        <v>1069000</v>
      </c>
      <c r="I36" s="57">
        <v>357</v>
      </c>
    </row>
    <row r="37" spans="5:9">
      <c r="E37" s="58">
        <f t="shared" si="0"/>
        <v>2054</v>
      </c>
      <c r="F37" s="59">
        <f t="shared" ref="F37:I49" si="1">F36</f>
        <v>22000</v>
      </c>
      <c r="G37" s="59">
        <f t="shared" si="1"/>
        <v>61500</v>
      </c>
      <c r="H37" s="59">
        <f t="shared" si="1"/>
        <v>1069000</v>
      </c>
      <c r="I37" s="59">
        <f t="shared" si="1"/>
        <v>357</v>
      </c>
    </row>
    <row r="38" spans="5:9">
      <c r="E38" s="58">
        <f t="shared" si="0"/>
        <v>2055</v>
      </c>
      <c r="F38" s="59">
        <f t="shared" si="1"/>
        <v>22000</v>
      </c>
      <c r="G38" s="59">
        <f t="shared" si="1"/>
        <v>61500</v>
      </c>
      <c r="H38" s="59">
        <f t="shared" si="1"/>
        <v>1069000</v>
      </c>
      <c r="I38" s="59">
        <f t="shared" si="1"/>
        <v>357</v>
      </c>
    </row>
    <row r="39" spans="5:9">
      <c r="E39" s="58">
        <f t="shared" si="0"/>
        <v>2056</v>
      </c>
      <c r="F39" s="59">
        <f t="shared" si="1"/>
        <v>22000</v>
      </c>
      <c r="G39" s="59">
        <f t="shared" si="1"/>
        <v>61500</v>
      </c>
      <c r="H39" s="59">
        <f t="shared" si="1"/>
        <v>1069000</v>
      </c>
      <c r="I39" s="59">
        <f t="shared" si="1"/>
        <v>357</v>
      </c>
    </row>
    <row r="40" spans="5:9">
      <c r="E40" s="58">
        <f t="shared" si="0"/>
        <v>2057</v>
      </c>
      <c r="F40" s="59">
        <f t="shared" si="1"/>
        <v>22000</v>
      </c>
      <c r="G40" s="59">
        <f t="shared" si="1"/>
        <v>61500</v>
      </c>
      <c r="H40" s="59">
        <f t="shared" si="1"/>
        <v>1069000</v>
      </c>
      <c r="I40" s="59">
        <f t="shared" si="1"/>
        <v>357</v>
      </c>
    </row>
    <row r="41" spans="5:9">
      <c r="E41" s="58">
        <f t="shared" si="0"/>
        <v>2058</v>
      </c>
      <c r="F41" s="59">
        <f t="shared" si="1"/>
        <v>22000</v>
      </c>
      <c r="G41" s="59">
        <f t="shared" si="1"/>
        <v>61500</v>
      </c>
      <c r="H41" s="59">
        <f t="shared" si="1"/>
        <v>1069000</v>
      </c>
      <c r="I41" s="59">
        <f t="shared" si="1"/>
        <v>357</v>
      </c>
    </row>
    <row r="42" spans="5:9">
      <c r="E42" s="58">
        <f t="shared" si="0"/>
        <v>2059</v>
      </c>
      <c r="F42" s="59">
        <f t="shared" si="1"/>
        <v>22000</v>
      </c>
      <c r="G42" s="59">
        <f t="shared" si="1"/>
        <v>61500</v>
      </c>
      <c r="H42" s="59">
        <f t="shared" si="1"/>
        <v>1069000</v>
      </c>
      <c r="I42" s="59">
        <f t="shared" si="1"/>
        <v>357</v>
      </c>
    </row>
    <row r="43" spans="5:9">
      <c r="E43" s="58">
        <f t="shared" si="0"/>
        <v>2060</v>
      </c>
      <c r="F43" s="59">
        <f t="shared" si="1"/>
        <v>22000</v>
      </c>
      <c r="G43" s="59">
        <f t="shared" si="1"/>
        <v>61500</v>
      </c>
      <c r="H43" s="59">
        <f t="shared" si="1"/>
        <v>1069000</v>
      </c>
      <c r="I43" s="59">
        <f t="shared" si="1"/>
        <v>357</v>
      </c>
    </row>
    <row r="44" spans="5:9">
      <c r="E44" s="58">
        <f t="shared" si="0"/>
        <v>2061</v>
      </c>
      <c r="F44" s="59">
        <f t="shared" si="1"/>
        <v>22000</v>
      </c>
      <c r="G44" s="59">
        <f t="shared" si="1"/>
        <v>61500</v>
      </c>
      <c r="H44" s="59">
        <f t="shared" si="1"/>
        <v>1069000</v>
      </c>
      <c r="I44" s="59">
        <f t="shared" si="1"/>
        <v>357</v>
      </c>
    </row>
    <row r="45" spans="5:9">
      <c r="E45" s="58">
        <f t="shared" si="0"/>
        <v>2062</v>
      </c>
      <c r="F45" s="59">
        <f t="shared" si="1"/>
        <v>22000</v>
      </c>
      <c r="G45" s="59">
        <f t="shared" si="1"/>
        <v>61500</v>
      </c>
      <c r="H45" s="59">
        <f t="shared" si="1"/>
        <v>1069000</v>
      </c>
      <c r="I45" s="59">
        <f t="shared" si="1"/>
        <v>357</v>
      </c>
    </row>
    <row r="46" spans="5:9">
      <c r="E46" s="58">
        <f t="shared" si="0"/>
        <v>2063</v>
      </c>
      <c r="F46" s="59">
        <f t="shared" si="1"/>
        <v>22000</v>
      </c>
      <c r="G46" s="59">
        <f t="shared" si="1"/>
        <v>61500</v>
      </c>
      <c r="H46" s="59">
        <f t="shared" si="1"/>
        <v>1069000</v>
      </c>
      <c r="I46" s="59">
        <f t="shared" si="1"/>
        <v>357</v>
      </c>
    </row>
    <row r="47" spans="5:9">
      <c r="E47" s="58">
        <f t="shared" si="0"/>
        <v>2064</v>
      </c>
      <c r="F47" s="59">
        <f t="shared" si="1"/>
        <v>22000</v>
      </c>
      <c r="G47" s="59">
        <f t="shared" si="1"/>
        <v>61500</v>
      </c>
      <c r="H47" s="59">
        <f t="shared" si="1"/>
        <v>1069000</v>
      </c>
      <c r="I47" s="59">
        <f t="shared" si="1"/>
        <v>357</v>
      </c>
    </row>
    <row r="48" spans="5:9">
      <c r="E48" s="58">
        <f t="shared" si="0"/>
        <v>2065</v>
      </c>
      <c r="F48" s="59">
        <f t="shared" si="1"/>
        <v>22000</v>
      </c>
      <c r="G48" s="59">
        <f t="shared" si="1"/>
        <v>61500</v>
      </c>
      <c r="H48" s="59">
        <f t="shared" si="1"/>
        <v>1069000</v>
      </c>
      <c r="I48" s="59">
        <f t="shared" si="1"/>
        <v>357</v>
      </c>
    </row>
    <row r="49" spans="5:9">
      <c r="E49" s="58">
        <f t="shared" si="0"/>
        <v>2066</v>
      </c>
      <c r="F49" s="59">
        <f t="shared" si="1"/>
        <v>22000</v>
      </c>
      <c r="G49" s="59">
        <f t="shared" si="1"/>
        <v>61500</v>
      </c>
      <c r="H49" s="59">
        <f t="shared" si="1"/>
        <v>1069000</v>
      </c>
      <c r="I49" s="59">
        <f t="shared" si="1"/>
        <v>357</v>
      </c>
    </row>
    <row r="50" spans="5:9">
      <c r="E50" s="58">
        <f t="shared" si="0"/>
        <v>2067</v>
      </c>
      <c r="F50" s="59">
        <f t="shared" ref="F50:I50" si="2">F49</f>
        <v>22000</v>
      </c>
      <c r="G50" s="59">
        <f t="shared" si="2"/>
        <v>61500</v>
      </c>
      <c r="H50" s="59">
        <f t="shared" si="2"/>
        <v>1069000</v>
      </c>
      <c r="I50" s="59">
        <f t="shared" si="2"/>
        <v>357</v>
      </c>
    </row>
    <row r="51" spans="5:9">
      <c r="E51" s="154" t="s">
        <v>23</v>
      </c>
      <c r="F51" s="153"/>
      <c r="G51" s="153"/>
      <c r="H51" s="153"/>
      <c r="I51" s="153"/>
    </row>
    <row r="52" spans="5:9">
      <c r="E52" s="18" t="s">
        <v>24</v>
      </c>
    </row>
    <row r="53" spans="5:9">
      <c r="E53" t="s">
        <v>25</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3DDBE-2995-42B7-A7CF-EA9605419CC2}">
  <sheetPr codeName="Sheet14">
    <tabColor theme="6"/>
  </sheetPr>
  <dimension ref="A1:H77"/>
  <sheetViews>
    <sheetView showGridLines="0" zoomScaleNormal="100" workbookViewId="0">
      <pane ySplit="2" topLeftCell="A3" activePane="bottomLeft" state="frozen"/>
      <selection pane="bottomLeft"/>
    </sheetView>
  </sheetViews>
  <sheetFormatPr defaultRowHeight="15"/>
  <cols>
    <col min="1" max="4" width="3.7109375" customWidth="1"/>
    <col min="5" max="5" width="47.7109375" style="54" bestFit="1" customWidth="1"/>
    <col min="6" max="6" width="18" style="86" customWidth="1"/>
    <col min="7" max="7" width="16.7109375" style="52" customWidth="1"/>
    <col min="8" max="8" width="104.7109375" style="39" customWidth="1"/>
  </cols>
  <sheetData>
    <row r="1" spans="1:8">
      <c r="E1" s="63" t="s">
        <v>39</v>
      </c>
      <c r="F1" s="85" t="s">
        <v>41</v>
      </c>
      <c r="G1" s="64" t="s">
        <v>65</v>
      </c>
      <c r="H1" s="65" t="s">
        <v>40</v>
      </c>
    </row>
    <row r="3" spans="1:8">
      <c r="A3" s="12" t="s">
        <v>66</v>
      </c>
    </row>
    <row r="4" spans="1:8">
      <c r="E4" s="54" t="s">
        <v>67</v>
      </c>
      <c r="F4" s="86" t="s">
        <v>68</v>
      </c>
      <c r="G4" s="346">
        <v>2022</v>
      </c>
      <c r="H4" s="39" t="s">
        <v>69</v>
      </c>
    </row>
    <row r="5" spans="1:8">
      <c r="E5" s="54" t="s">
        <v>70</v>
      </c>
      <c r="F5" s="86" t="s">
        <v>62</v>
      </c>
      <c r="G5" s="347">
        <v>3.1E-2</v>
      </c>
      <c r="H5" s="39" t="s">
        <v>69</v>
      </c>
    </row>
    <row r="6" spans="1:8">
      <c r="E6" s="54" t="s">
        <v>71</v>
      </c>
      <c r="F6" s="86" t="s">
        <v>62</v>
      </c>
      <c r="G6" s="347">
        <v>0.02</v>
      </c>
      <c r="H6" s="39" t="s">
        <v>69</v>
      </c>
    </row>
    <row r="7" spans="1:8" ht="30">
      <c r="E7" s="54" t="s">
        <v>72</v>
      </c>
      <c r="F7" s="86" t="s">
        <v>62</v>
      </c>
      <c r="G7" s="347">
        <v>0.06</v>
      </c>
      <c r="H7" s="39" t="s">
        <v>442</v>
      </c>
    </row>
    <row r="8" spans="1:8">
      <c r="E8" s="54" t="s">
        <v>74</v>
      </c>
      <c r="F8" s="86" t="s">
        <v>75</v>
      </c>
      <c r="G8" s="346">
        <v>360</v>
      </c>
      <c r="H8" s="39" t="s">
        <v>73</v>
      </c>
    </row>
    <row r="9" spans="1:8">
      <c r="B9" s="12"/>
      <c r="G9" s="156"/>
    </row>
    <row r="10" spans="1:8">
      <c r="E10" s="54" t="s">
        <v>76</v>
      </c>
      <c r="F10" s="86" t="s">
        <v>68</v>
      </c>
      <c r="G10" s="346">
        <v>2027</v>
      </c>
      <c r="H10" s="39" t="s">
        <v>77</v>
      </c>
    </row>
    <row r="11" spans="1:8">
      <c r="E11" s="54" t="s">
        <v>78</v>
      </c>
      <c r="F11" s="86" t="s">
        <v>68</v>
      </c>
      <c r="G11" s="53">
        <v>2025</v>
      </c>
      <c r="H11" s="39" t="s">
        <v>77</v>
      </c>
    </row>
    <row r="12" spans="1:8">
      <c r="E12" s="54" t="s">
        <v>79</v>
      </c>
      <c r="F12" s="86" t="s">
        <v>64</v>
      </c>
      <c r="G12" s="346">
        <v>20</v>
      </c>
      <c r="H12" s="39" t="s">
        <v>73</v>
      </c>
    </row>
    <row r="13" spans="1:8">
      <c r="E13" s="54" t="s">
        <v>383</v>
      </c>
      <c r="F13" s="86" t="s">
        <v>75</v>
      </c>
      <c r="G13" s="346">
        <f>9/12</f>
        <v>0.75</v>
      </c>
      <c r="H13" s="39" t="s">
        <v>443</v>
      </c>
    </row>
    <row r="14" spans="1:8">
      <c r="G14" s="156"/>
    </row>
    <row r="15" spans="1:8">
      <c r="A15" s="12" t="s">
        <v>83</v>
      </c>
    </row>
    <row r="16" spans="1:8">
      <c r="A16" s="12"/>
      <c r="E16" s="54" t="s">
        <v>84</v>
      </c>
      <c r="F16" s="86" t="s">
        <v>46</v>
      </c>
      <c r="G16" s="170" t="s">
        <v>85</v>
      </c>
    </row>
    <row r="17" spans="1:8">
      <c r="E17" s="54" t="s">
        <v>86</v>
      </c>
      <c r="F17" s="86" t="s">
        <v>46</v>
      </c>
      <c r="G17" s="170" t="s">
        <v>87</v>
      </c>
    </row>
    <row r="19" spans="1:8">
      <c r="A19" s="12" t="s">
        <v>394</v>
      </c>
    </row>
    <row r="20" spans="1:8">
      <c r="E20" s="54" t="s">
        <v>95</v>
      </c>
      <c r="F20" s="86" t="s">
        <v>96</v>
      </c>
      <c r="G20" s="348">
        <v>1.86</v>
      </c>
      <c r="H20" s="157" t="s">
        <v>97</v>
      </c>
    </row>
    <row r="21" spans="1:8">
      <c r="E21" s="24" t="s">
        <v>82</v>
      </c>
      <c r="F21" s="86" t="s">
        <v>80</v>
      </c>
      <c r="G21" s="349">
        <v>0.1</v>
      </c>
      <c r="H21" s="157" t="s">
        <v>102</v>
      </c>
    </row>
    <row r="22" spans="1:8">
      <c r="E22" s="24" t="s">
        <v>103</v>
      </c>
      <c r="F22" s="86" t="s">
        <v>81</v>
      </c>
      <c r="G22" s="350">
        <v>11</v>
      </c>
      <c r="H22" s="157" t="s">
        <v>102</v>
      </c>
    </row>
    <row r="23" spans="1:8">
      <c r="E23" s="24" t="s">
        <v>104</v>
      </c>
      <c r="F23" s="86" t="s">
        <v>68</v>
      </c>
      <c r="G23" s="350">
        <v>2023</v>
      </c>
      <c r="H23" s="192" t="s">
        <v>107</v>
      </c>
    </row>
    <row r="24" spans="1:8">
      <c r="E24" s="24" t="s">
        <v>105</v>
      </c>
      <c r="F24" s="86" t="s">
        <v>106</v>
      </c>
      <c r="G24" s="350">
        <v>213</v>
      </c>
      <c r="H24" s="192" t="s">
        <v>107</v>
      </c>
    </row>
    <row r="25" spans="1:8">
      <c r="E25" s="24" t="s">
        <v>422</v>
      </c>
      <c r="F25" s="86" t="s">
        <v>75</v>
      </c>
      <c r="G25" s="351">
        <v>0.6</v>
      </c>
      <c r="H25" s="192" t="s">
        <v>435</v>
      </c>
    </row>
    <row r="26" spans="1:8">
      <c r="E26" s="24" t="s">
        <v>113</v>
      </c>
      <c r="F26" s="86" t="s">
        <v>62</v>
      </c>
      <c r="G26" s="352">
        <v>7.0000000000000001E-3</v>
      </c>
      <c r="H26" s="192" t="s">
        <v>114</v>
      </c>
    </row>
    <row r="27" spans="1:8">
      <c r="E27" s="54" t="s">
        <v>110</v>
      </c>
      <c r="F27" s="86" t="s">
        <v>62</v>
      </c>
      <c r="G27" s="353">
        <v>0.5</v>
      </c>
      <c r="H27" s="157" t="s">
        <v>92</v>
      </c>
    </row>
    <row r="28" spans="1:8">
      <c r="G28" s="285"/>
    </row>
    <row r="29" spans="1:8">
      <c r="A29" s="12" t="s">
        <v>49</v>
      </c>
      <c r="E29" s="24"/>
      <c r="G29" s="286"/>
    </row>
    <row r="30" spans="1:8" ht="14.45" customHeight="1">
      <c r="E30" s="24" t="s">
        <v>423</v>
      </c>
      <c r="F30" s="86" t="s">
        <v>62</v>
      </c>
      <c r="G30" s="351">
        <v>0.5</v>
      </c>
      <c r="H30" s="367" t="s">
        <v>453</v>
      </c>
    </row>
    <row r="31" spans="1:8">
      <c r="E31" s="24" t="s">
        <v>108</v>
      </c>
      <c r="F31" s="86" t="s">
        <v>62</v>
      </c>
      <c r="G31" s="351">
        <v>0.92</v>
      </c>
      <c r="H31" s="367" t="s">
        <v>453</v>
      </c>
    </row>
    <row r="32" spans="1:8">
      <c r="E32" s="24" t="s">
        <v>424</v>
      </c>
      <c r="F32" s="86" t="s">
        <v>62</v>
      </c>
      <c r="G32" s="351">
        <v>0.44</v>
      </c>
      <c r="H32" s="367" t="s">
        <v>453</v>
      </c>
    </row>
    <row r="33" spans="1:8">
      <c r="E33" s="24" t="s">
        <v>109</v>
      </c>
      <c r="F33" s="86" t="s">
        <v>62</v>
      </c>
      <c r="G33" s="351">
        <v>0.78</v>
      </c>
      <c r="H33" s="367" t="s">
        <v>453</v>
      </c>
    </row>
    <row r="34" spans="1:8" ht="30">
      <c r="E34" s="24" t="s">
        <v>98</v>
      </c>
      <c r="F34" s="52" t="s">
        <v>99</v>
      </c>
      <c r="G34" s="348">
        <v>0.11</v>
      </c>
      <c r="H34" s="157" t="s">
        <v>97</v>
      </c>
    </row>
    <row r="35" spans="1:8">
      <c r="E35" s="24" t="s">
        <v>111</v>
      </c>
      <c r="F35" s="86" t="s">
        <v>80</v>
      </c>
      <c r="G35" s="353">
        <v>0.2</v>
      </c>
      <c r="H35" s="157" t="s">
        <v>102</v>
      </c>
    </row>
    <row r="36" spans="1:8">
      <c r="E36" s="24" t="s">
        <v>112</v>
      </c>
      <c r="F36" s="86" t="s">
        <v>81</v>
      </c>
      <c r="G36" s="350">
        <v>5</v>
      </c>
      <c r="H36" s="157" t="s">
        <v>102</v>
      </c>
    </row>
    <row r="37" spans="1:8">
      <c r="E37" s="24" t="s">
        <v>425</v>
      </c>
      <c r="F37" s="86" t="s">
        <v>375</v>
      </c>
      <c r="G37" s="350">
        <v>87</v>
      </c>
      <c r="H37" s="157" t="s">
        <v>102</v>
      </c>
    </row>
    <row r="38" spans="1:8">
      <c r="A38" t="s">
        <v>432</v>
      </c>
      <c r="E38" s="24" t="s">
        <v>427</v>
      </c>
      <c r="F38" s="86" t="s">
        <v>430</v>
      </c>
      <c r="G38" s="349">
        <v>2.4900000000000002</v>
      </c>
      <c r="H38" s="157" t="s">
        <v>102</v>
      </c>
    </row>
    <row r="39" spans="1:8">
      <c r="A39" t="s">
        <v>431</v>
      </c>
      <c r="E39" s="24" t="s">
        <v>429</v>
      </c>
      <c r="F39" s="86" t="s">
        <v>376</v>
      </c>
      <c r="G39" s="350">
        <v>2</v>
      </c>
      <c r="H39" s="39" t="s">
        <v>89</v>
      </c>
    </row>
    <row r="40" spans="1:8">
      <c r="E40" s="24" t="s">
        <v>426</v>
      </c>
      <c r="F40" s="86" t="s">
        <v>375</v>
      </c>
      <c r="G40" s="350">
        <v>400</v>
      </c>
      <c r="H40" s="39" t="s">
        <v>102</v>
      </c>
    </row>
    <row r="41" spans="1:8">
      <c r="E41" s="24" t="s">
        <v>428</v>
      </c>
      <c r="F41" s="86" t="s">
        <v>430</v>
      </c>
      <c r="G41" s="350">
        <v>1</v>
      </c>
      <c r="H41" s="39" t="s">
        <v>89</v>
      </c>
    </row>
    <row r="42" spans="1:8">
      <c r="E42" s="24"/>
      <c r="G42" s="264"/>
    </row>
    <row r="43" spans="1:8">
      <c r="A43" s="12" t="s">
        <v>191</v>
      </c>
      <c r="E43" s="24"/>
      <c r="G43" s="264"/>
    </row>
    <row r="44" spans="1:8" ht="30">
      <c r="E44" s="24" t="s">
        <v>100</v>
      </c>
      <c r="F44" s="86" t="s">
        <v>80</v>
      </c>
      <c r="G44" s="349">
        <v>2.38</v>
      </c>
      <c r="H44" s="192" t="s">
        <v>101</v>
      </c>
    </row>
    <row r="45" spans="1:8">
      <c r="A45" t="s">
        <v>395</v>
      </c>
      <c r="E45" s="24"/>
      <c r="G45" s="264"/>
    </row>
    <row r="46" spans="1:8">
      <c r="A46" s="12" t="s">
        <v>253</v>
      </c>
      <c r="E46" s="24"/>
      <c r="G46" s="264"/>
    </row>
    <row r="47" spans="1:8">
      <c r="A47" s="12"/>
      <c r="E47" s="24" t="s">
        <v>380</v>
      </c>
      <c r="F47" s="86" t="s">
        <v>375</v>
      </c>
      <c r="G47" s="354">
        <v>649</v>
      </c>
      <c r="H47" s="39" t="s">
        <v>357</v>
      </c>
    </row>
    <row r="48" spans="1:8" ht="30">
      <c r="E48" s="24" t="s">
        <v>471</v>
      </c>
      <c r="F48" s="86" t="s">
        <v>80</v>
      </c>
      <c r="G48" s="355">
        <v>0.3</v>
      </c>
      <c r="H48" s="39" t="s">
        <v>397</v>
      </c>
    </row>
    <row r="49" spans="1:8">
      <c r="E49" s="24" t="s">
        <v>472</v>
      </c>
      <c r="F49" s="86" t="s">
        <v>80</v>
      </c>
      <c r="G49" s="355">
        <v>0.01</v>
      </c>
      <c r="H49" s="39" t="s">
        <v>397</v>
      </c>
    </row>
    <row r="50" spans="1:8">
      <c r="E50" s="24" t="s">
        <v>381</v>
      </c>
      <c r="F50" s="86" t="s">
        <v>376</v>
      </c>
      <c r="G50" s="354">
        <v>2</v>
      </c>
      <c r="H50" s="39" t="s">
        <v>89</v>
      </c>
    </row>
    <row r="51" spans="1:8">
      <c r="E51" s="24" t="s">
        <v>258</v>
      </c>
      <c r="F51" s="86" t="s">
        <v>259</v>
      </c>
      <c r="G51" s="355">
        <v>3.2</v>
      </c>
      <c r="H51" s="39" t="s">
        <v>73</v>
      </c>
    </row>
    <row r="52" spans="1:8">
      <c r="E52" s="54" t="s">
        <v>90</v>
      </c>
      <c r="F52" s="86" t="s">
        <v>91</v>
      </c>
      <c r="G52" s="346">
        <v>1.67</v>
      </c>
      <c r="H52" s="368" t="s">
        <v>92</v>
      </c>
    </row>
    <row r="53" spans="1:8" ht="30">
      <c r="E53" s="39" t="s">
        <v>94</v>
      </c>
      <c r="F53" s="86" t="s">
        <v>93</v>
      </c>
      <c r="G53" s="356">
        <v>35.799999999999997</v>
      </c>
      <c r="H53" s="368" t="s">
        <v>92</v>
      </c>
    </row>
    <row r="55" spans="1:8">
      <c r="A55" s="12" t="s">
        <v>396</v>
      </c>
    </row>
    <row r="56" spans="1:8">
      <c r="E56" s="54" t="s">
        <v>115</v>
      </c>
      <c r="F56" s="86" t="s">
        <v>116</v>
      </c>
      <c r="G56" s="348">
        <v>6.8</v>
      </c>
      <c r="H56" s="157" t="s">
        <v>92</v>
      </c>
    </row>
    <row r="57" spans="1:8">
      <c r="E57" s="14" t="s">
        <v>117</v>
      </c>
      <c r="F57" s="86" t="s">
        <v>62</v>
      </c>
      <c r="G57" s="351">
        <v>0.59</v>
      </c>
      <c r="H57" s="157" t="s">
        <v>92</v>
      </c>
    </row>
    <row r="58" spans="1:8">
      <c r="E58" s="14" t="s">
        <v>118</v>
      </c>
      <c r="F58" s="86" t="s">
        <v>62</v>
      </c>
      <c r="G58" s="357">
        <v>0.89</v>
      </c>
      <c r="H58" s="157" t="s">
        <v>92</v>
      </c>
    </row>
    <row r="59" spans="1:8">
      <c r="A59" s="12"/>
    </row>
    <row r="60" spans="1:8">
      <c r="A60" s="12" t="s">
        <v>128</v>
      </c>
    </row>
    <row r="61" spans="1:8" ht="30">
      <c r="E61" s="39" t="s">
        <v>94</v>
      </c>
      <c r="F61" s="86" t="s">
        <v>93</v>
      </c>
      <c r="G61" s="356">
        <v>35.799999999999997</v>
      </c>
      <c r="H61" s="39" t="s">
        <v>92</v>
      </c>
    </row>
    <row r="62" spans="1:8">
      <c r="E62" s="24" t="s">
        <v>427</v>
      </c>
      <c r="F62" s="86" t="s">
        <v>430</v>
      </c>
      <c r="G62" s="359">
        <f>G38</f>
        <v>2.4900000000000002</v>
      </c>
      <c r="H62" s="39" t="s">
        <v>357</v>
      </c>
    </row>
    <row r="63" spans="1:8">
      <c r="E63" s="24" t="s">
        <v>429</v>
      </c>
      <c r="F63" s="86" t="s">
        <v>376</v>
      </c>
      <c r="G63" s="360">
        <f>G39</f>
        <v>2</v>
      </c>
      <c r="H63" s="39" t="s">
        <v>89</v>
      </c>
    </row>
    <row r="64" spans="1:8">
      <c r="C64" s="18" t="s">
        <v>458</v>
      </c>
      <c r="E64" s="24"/>
      <c r="G64" s="372"/>
    </row>
    <row r="65" spans="1:8">
      <c r="E65" s="208" t="s">
        <v>370</v>
      </c>
      <c r="F65" s="209" t="s">
        <v>371</v>
      </c>
      <c r="G65" s="210">
        <v>12</v>
      </c>
      <c r="H65" s="39" t="s">
        <v>397</v>
      </c>
    </row>
    <row r="66" spans="1:8">
      <c r="E66" s="208" t="s">
        <v>372</v>
      </c>
      <c r="F66" s="209" t="s">
        <v>371</v>
      </c>
      <c r="G66" s="210">
        <v>27</v>
      </c>
      <c r="H66" s="39" t="s">
        <v>397</v>
      </c>
    </row>
    <row r="67" spans="1:8">
      <c r="E67" s="208" t="s">
        <v>373</v>
      </c>
      <c r="F67" s="209" t="s">
        <v>371</v>
      </c>
      <c r="G67" s="210">
        <v>21</v>
      </c>
      <c r="H67" s="39" t="s">
        <v>397</v>
      </c>
    </row>
    <row r="68" spans="1:8">
      <c r="E68" s="208" t="s">
        <v>374</v>
      </c>
      <c r="F68" s="209" t="s">
        <v>371</v>
      </c>
      <c r="G68" s="210">
        <v>9</v>
      </c>
      <c r="H68" s="39" t="s">
        <v>397</v>
      </c>
    </row>
    <row r="69" spans="1:8" ht="30">
      <c r="A69" s="12"/>
      <c r="E69" s="208" t="s">
        <v>378</v>
      </c>
      <c r="F69" s="209" t="s">
        <v>371</v>
      </c>
      <c r="G69" s="361">
        <f>AVERAGE(G65:G68)</f>
        <v>17.25</v>
      </c>
      <c r="H69" s="39" t="s">
        <v>459</v>
      </c>
    </row>
    <row r="70" spans="1:8">
      <c r="E70" s="12" t="s">
        <v>433</v>
      </c>
      <c r="F70"/>
      <c r="G70"/>
      <c r="H70"/>
    </row>
    <row r="71" spans="1:8">
      <c r="E71" s="208" t="s">
        <v>467</v>
      </c>
      <c r="F71" s="209" t="s">
        <v>371</v>
      </c>
      <c r="G71" s="358">
        <v>3</v>
      </c>
      <c r="H71" s="39" t="s">
        <v>397</v>
      </c>
    </row>
    <row r="72" spans="1:8">
      <c r="E72" s="208" t="s">
        <v>425</v>
      </c>
      <c r="F72" s="209" t="s">
        <v>375</v>
      </c>
      <c r="G72" s="358">
        <v>87</v>
      </c>
      <c r="H72" s="39" t="s">
        <v>357</v>
      </c>
    </row>
    <row r="73" spans="1:8">
      <c r="E73" s="208" t="s">
        <v>377</v>
      </c>
      <c r="F73" s="209" t="s">
        <v>250</v>
      </c>
      <c r="G73" s="362">
        <f>G63*G62*G72*(G69-G71)/60</f>
        <v>102.89925000000001</v>
      </c>
      <c r="H73" s="39" t="s">
        <v>434</v>
      </c>
    </row>
    <row r="74" spans="1:8">
      <c r="E74" s="292" t="s">
        <v>243</v>
      </c>
    </row>
    <row r="75" spans="1:8">
      <c r="E75" s="208" t="s">
        <v>467</v>
      </c>
      <c r="F75" s="209" t="s">
        <v>371</v>
      </c>
      <c r="G75" s="358">
        <v>7</v>
      </c>
      <c r="H75" s="39" t="s">
        <v>397</v>
      </c>
    </row>
    <row r="76" spans="1:8">
      <c r="E76" s="208" t="s">
        <v>425</v>
      </c>
      <c r="F76" s="209" t="s">
        <v>375</v>
      </c>
      <c r="G76" s="358">
        <v>400</v>
      </c>
      <c r="H76" s="39" t="s">
        <v>357</v>
      </c>
    </row>
    <row r="77" spans="1:8">
      <c r="E77" s="208" t="s">
        <v>377</v>
      </c>
      <c r="F77" s="209" t="s">
        <v>250</v>
      </c>
      <c r="G77" s="362">
        <f>G76*G41*G63*(G69-G75)/60</f>
        <v>136.66666666666666</v>
      </c>
      <c r="H77" s="39" t="s">
        <v>434</v>
      </c>
    </row>
  </sheetData>
  <hyperlinks>
    <hyperlink ref="G16" location="'Capital Costs'!A1" display="'Capital Costs'!A1" xr:uid="{C2E2E9F5-E446-4DE8-B2FB-EC28C516586C}"/>
    <hyperlink ref="G17" location="'O&amp;M'!A1" display="'O&amp;M'!A1" xr:uid="{D4D3028C-DF0E-4833-BE6E-9BA6E25A849E}"/>
  </hyperlinks>
  <pageMargins left="0.7" right="0.7" top="0.75" bottom="0.75" header="0.3" footer="0.3"/>
  <pageSetup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042FD-C564-4B87-9B2C-D6CA11969742}">
  <sheetPr>
    <tabColor theme="7"/>
  </sheetPr>
  <dimension ref="A1:BB56"/>
  <sheetViews>
    <sheetView showGridLines="0" zoomScaleNormal="100" workbookViewId="0">
      <pane xSplit="8" ySplit="5" topLeftCell="I7" activePane="bottomRight" state="frozen"/>
      <selection pane="topRight" activeCell="G347" sqref="G347"/>
      <selection pane="bottomLeft" activeCell="G347" sqref="G347"/>
      <selection pane="bottomRight"/>
    </sheetView>
  </sheetViews>
  <sheetFormatPr defaultColWidth="0" defaultRowHeight="15"/>
  <cols>
    <col min="1" max="4" width="2.28515625" customWidth="1"/>
    <col min="5" max="5" width="47.42578125" customWidth="1"/>
    <col min="6" max="6" width="22.7109375" customWidth="1"/>
    <col min="7" max="7" width="26.42578125" customWidth="1"/>
    <col min="8" max="8" width="20.5703125" bestFit="1" customWidth="1"/>
    <col min="9" max="9" width="15.5703125" bestFit="1" customWidth="1"/>
    <col min="10" max="10" width="17.28515625" bestFit="1" customWidth="1"/>
    <col min="11" max="11" width="16.7109375" bestFit="1" customWidth="1"/>
    <col min="12" max="12" width="17.7109375" bestFit="1" customWidth="1"/>
    <col min="13" max="14" width="18.5703125" bestFit="1" customWidth="1"/>
    <col min="15" max="16" width="19" bestFit="1" customWidth="1"/>
    <col min="17" max="17" width="18.5703125" bestFit="1" customWidth="1"/>
    <col min="18" max="18" width="19" bestFit="1" customWidth="1"/>
    <col min="19" max="20" width="18.5703125" bestFit="1" customWidth="1"/>
    <col min="21" max="21" width="19" bestFit="1" customWidth="1"/>
    <col min="22" max="22" width="18.5703125" bestFit="1" customWidth="1"/>
    <col min="23" max="23" width="19" bestFit="1" customWidth="1"/>
    <col min="24" max="24" width="18.28515625" bestFit="1" customWidth="1"/>
    <col min="25" max="26" width="18.5703125" bestFit="1" customWidth="1"/>
    <col min="27" max="28" width="19" bestFit="1" customWidth="1"/>
    <col min="29" max="33" width="18.5703125" bestFit="1" customWidth="1"/>
    <col min="34" max="34" width="19" bestFit="1" customWidth="1"/>
    <col min="35" max="35" width="18.28515625" bestFit="1" customWidth="1"/>
    <col min="36" max="37" width="18.5703125" bestFit="1" customWidth="1"/>
    <col min="38" max="38" width="19" bestFit="1" customWidth="1"/>
    <col min="39" max="40" width="18.5703125" bestFit="1" customWidth="1"/>
    <col min="41" max="41" width="18.7109375" bestFit="1" customWidth="1"/>
    <col min="42" max="43" width="18.5703125" bestFit="1" customWidth="1"/>
    <col min="44" max="44" width="19" bestFit="1" customWidth="1"/>
    <col min="45" max="45" width="18.5703125" bestFit="1" customWidth="1"/>
    <col min="46" max="48" width="19" bestFit="1" customWidth="1"/>
    <col min="49" max="49" width="21.5703125" bestFit="1" customWidth="1"/>
    <col min="50" max="54" width="13.7109375" bestFit="1" customWidth="1"/>
    <col min="55" max="16384" width="9.28515625" hidden="1"/>
  </cols>
  <sheetData>
    <row r="1" spans="1:54">
      <c r="A1" s="20"/>
      <c r="B1" s="13"/>
      <c r="C1" s="13"/>
    </row>
    <row r="2" spans="1:54">
      <c r="A2" s="20"/>
      <c r="B2" s="13"/>
      <c r="C2" s="13"/>
      <c r="G2" s="12" t="s">
        <v>33</v>
      </c>
      <c r="H2" s="12" t="s">
        <v>34</v>
      </c>
      <c r="I2" s="12">
        <v>2020</v>
      </c>
      <c r="J2" s="12">
        <v>2021</v>
      </c>
      <c r="K2" s="12">
        <v>2022</v>
      </c>
      <c r="L2" s="12">
        <v>2023</v>
      </c>
      <c r="M2" s="12">
        <v>2024</v>
      </c>
      <c r="N2" s="12">
        <v>2025</v>
      </c>
      <c r="O2" s="12">
        <v>2026</v>
      </c>
      <c r="P2" s="12">
        <v>2027</v>
      </c>
      <c r="Q2" s="12">
        <v>2028</v>
      </c>
      <c r="R2" s="12">
        <v>2029</v>
      </c>
      <c r="S2" s="12">
        <v>2030</v>
      </c>
      <c r="T2" s="12">
        <v>2031</v>
      </c>
      <c r="U2" s="12">
        <v>2032</v>
      </c>
      <c r="V2" s="12">
        <v>2033</v>
      </c>
      <c r="W2" s="12">
        <v>2034</v>
      </c>
      <c r="X2" s="12">
        <v>2035</v>
      </c>
      <c r="Y2" s="12">
        <v>2036</v>
      </c>
      <c r="Z2" s="12">
        <v>2037</v>
      </c>
      <c r="AA2" s="12">
        <v>2038</v>
      </c>
      <c r="AB2" s="12">
        <v>2039</v>
      </c>
      <c r="AC2" s="12">
        <v>2040</v>
      </c>
      <c r="AD2" s="12">
        <v>2041</v>
      </c>
      <c r="AE2" s="12">
        <v>2042</v>
      </c>
      <c r="AF2" s="12">
        <v>2043</v>
      </c>
      <c r="AG2" s="12">
        <v>2044</v>
      </c>
      <c r="AH2" s="12">
        <v>2045</v>
      </c>
      <c r="AI2" s="12">
        <v>2046</v>
      </c>
      <c r="AJ2" s="12">
        <v>2047</v>
      </c>
      <c r="AK2" s="12">
        <v>2048</v>
      </c>
      <c r="AL2" s="12">
        <v>2049</v>
      </c>
      <c r="AM2" s="12">
        <v>2050</v>
      </c>
      <c r="AN2" s="12">
        <v>2051</v>
      </c>
      <c r="AO2" s="12">
        <v>2052</v>
      </c>
      <c r="AP2" s="12">
        <v>2053</v>
      </c>
      <c r="AQ2" s="12">
        <v>2054</v>
      </c>
      <c r="AR2" s="12">
        <v>2055</v>
      </c>
      <c r="AS2" s="12">
        <v>2056</v>
      </c>
      <c r="AT2" s="12">
        <v>2057</v>
      </c>
      <c r="AU2" s="12">
        <v>2058</v>
      </c>
      <c r="AV2" s="12">
        <v>2059</v>
      </c>
      <c r="AW2" s="12">
        <v>2060</v>
      </c>
      <c r="AX2" s="12">
        <v>2061</v>
      </c>
      <c r="AY2" s="12">
        <v>2062</v>
      </c>
      <c r="AZ2" s="12">
        <v>2063</v>
      </c>
      <c r="BA2" s="12">
        <v>2064</v>
      </c>
      <c r="BB2" s="12">
        <v>2065</v>
      </c>
    </row>
    <row r="3" spans="1:54" s="93" customFormat="1">
      <c r="E3" s="93" t="s">
        <v>35</v>
      </c>
      <c r="G3" s="93" t="s">
        <v>36</v>
      </c>
      <c r="H3" s="94">
        <f>COUNTIFS(I3:AZ3,"&gt;"&amp;0)</f>
        <v>20</v>
      </c>
      <c r="I3" s="101">
        <f>'Intermediate Calcs'!I3</f>
        <v>0</v>
      </c>
      <c r="J3" s="101">
        <f>'Intermediate Calcs'!J3</f>
        <v>0</v>
      </c>
      <c r="K3" s="101">
        <f>'Intermediate Calcs'!K3</f>
        <v>0</v>
      </c>
      <c r="L3" s="101">
        <f>'Intermediate Calcs'!L3</f>
        <v>0</v>
      </c>
      <c r="M3" s="101">
        <f>'Intermediate Calcs'!M3</f>
        <v>0</v>
      </c>
      <c r="N3" s="101">
        <f>'Intermediate Calcs'!N3</f>
        <v>0</v>
      </c>
      <c r="O3" s="101">
        <f>'Intermediate Calcs'!O3</f>
        <v>0</v>
      </c>
      <c r="P3" s="101">
        <f>'Intermediate Calcs'!P3</f>
        <v>0.75</v>
      </c>
      <c r="Q3" s="101">
        <f>'Intermediate Calcs'!Q3</f>
        <v>1</v>
      </c>
      <c r="R3" s="101">
        <f>'Intermediate Calcs'!R3</f>
        <v>1</v>
      </c>
      <c r="S3" s="101">
        <f>'Intermediate Calcs'!S3</f>
        <v>1</v>
      </c>
      <c r="T3" s="101">
        <f>'Intermediate Calcs'!T3</f>
        <v>1</v>
      </c>
      <c r="U3" s="101">
        <f>'Intermediate Calcs'!U3</f>
        <v>1</v>
      </c>
      <c r="V3" s="101">
        <f>'Intermediate Calcs'!V3</f>
        <v>1</v>
      </c>
      <c r="W3" s="101">
        <f>'Intermediate Calcs'!W3</f>
        <v>1</v>
      </c>
      <c r="X3" s="101">
        <f>'Intermediate Calcs'!X3</f>
        <v>1</v>
      </c>
      <c r="Y3" s="101">
        <f>'Intermediate Calcs'!Y3</f>
        <v>1</v>
      </c>
      <c r="Z3" s="101">
        <f>'Intermediate Calcs'!Z3</f>
        <v>1</v>
      </c>
      <c r="AA3" s="101">
        <f>'Intermediate Calcs'!AA3</f>
        <v>1</v>
      </c>
      <c r="AB3" s="101">
        <f>'Intermediate Calcs'!AB3</f>
        <v>1</v>
      </c>
      <c r="AC3" s="101">
        <f>'Intermediate Calcs'!AC3</f>
        <v>1</v>
      </c>
      <c r="AD3" s="101">
        <f>'Intermediate Calcs'!AD3</f>
        <v>1</v>
      </c>
      <c r="AE3" s="101">
        <f>'Intermediate Calcs'!AE3</f>
        <v>1</v>
      </c>
      <c r="AF3" s="101">
        <f>'Intermediate Calcs'!AF3</f>
        <v>1</v>
      </c>
      <c r="AG3" s="101">
        <f>'Intermediate Calcs'!AG3</f>
        <v>1</v>
      </c>
      <c r="AH3" s="101">
        <f>'Intermediate Calcs'!AH3</f>
        <v>1</v>
      </c>
      <c r="AI3" s="101">
        <f>'Intermediate Calcs'!AI3</f>
        <v>1</v>
      </c>
      <c r="AJ3" s="101">
        <f>'Intermediate Calcs'!AJ3</f>
        <v>0</v>
      </c>
      <c r="AK3" s="101">
        <f>'Intermediate Calcs'!AK3</f>
        <v>0</v>
      </c>
      <c r="AL3" s="101">
        <f>'Intermediate Calcs'!AL3</f>
        <v>0</v>
      </c>
      <c r="AM3" s="101">
        <f>'Intermediate Calcs'!AM3</f>
        <v>0</v>
      </c>
      <c r="AN3" s="101">
        <f>'Intermediate Calcs'!AN3</f>
        <v>0</v>
      </c>
      <c r="AO3" s="101">
        <f>'Intermediate Calcs'!AO3</f>
        <v>0</v>
      </c>
      <c r="AP3" s="101">
        <f>'Intermediate Calcs'!AP3</f>
        <v>0</v>
      </c>
      <c r="AQ3" s="101">
        <f>'Intermediate Calcs'!AQ3</f>
        <v>0</v>
      </c>
      <c r="AR3" s="101">
        <f>'Intermediate Calcs'!AR3</f>
        <v>0</v>
      </c>
      <c r="AS3" s="101">
        <f>'Intermediate Calcs'!AS3</f>
        <v>0</v>
      </c>
      <c r="AT3" s="101">
        <f>'Intermediate Calcs'!AT3</f>
        <v>0</v>
      </c>
      <c r="AU3" s="101">
        <f>'Intermediate Calcs'!AU3</f>
        <v>0</v>
      </c>
      <c r="AV3" s="101">
        <f>'Intermediate Calcs'!AV3</f>
        <v>0</v>
      </c>
      <c r="AW3" s="101">
        <f>'Intermediate Calcs'!AW3</f>
        <v>0</v>
      </c>
      <c r="AX3" s="101">
        <f>'Intermediate Calcs'!AX3</f>
        <v>0</v>
      </c>
      <c r="AY3" s="101">
        <f>'Intermediate Calcs'!AY3</f>
        <v>0</v>
      </c>
      <c r="AZ3" s="101">
        <f>'Intermediate Calcs'!AZ3</f>
        <v>0</v>
      </c>
      <c r="BA3" s="101">
        <f>'Intermediate Calcs'!BA3</f>
        <v>0</v>
      </c>
      <c r="BB3" s="101">
        <f>'Intermediate Calcs'!BB3</f>
        <v>0</v>
      </c>
    </row>
    <row r="4" spans="1:54" s="93" customFormat="1">
      <c r="E4" s="93" t="s">
        <v>37</v>
      </c>
      <c r="G4" s="93" t="s">
        <v>36</v>
      </c>
      <c r="H4" s="95" t="s">
        <v>38</v>
      </c>
      <c r="I4" s="102">
        <f>'Intermediate Calcs'!I4</f>
        <v>1</v>
      </c>
      <c r="J4" s="102">
        <f>'Intermediate Calcs'!J4</f>
        <v>1</v>
      </c>
      <c r="K4" s="102">
        <f>'Intermediate Calcs'!K4</f>
        <v>1</v>
      </c>
      <c r="L4" s="102">
        <f>'Intermediate Calcs'!L4</f>
        <v>0.96993210475266745</v>
      </c>
      <c r="M4" s="102">
        <f>'Intermediate Calcs'!M4</f>
        <v>0.94076828782993938</v>
      </c>
      <c r="N4" s="102">
        <f>'Intermediate Calcs'!N4</f>
        <v>0.91248136549945624</v>
      </c>
      <c r="O4" s="102">
        <f>'Intermediate Calcs'!O4</f>
        <v>0.88504497138647553</v>
      </c>
      <c r="P4" s="102">
        <f>'Intermediate Calcs'!P4</f>
        <v>0.85843353189764848</v>
      </c>
      <c r="Q4" s="102">
        <f>'Intermediate Calcs'!Q4</f>
        <v>0.83262224238375215</v>
      </c>
      <c r="R4" s="102">
        <f>'Intermediate Calcs'!R4</f>
        <v>0.80758704401915837</v>
      </c>
      <c r="S4" s="102">
        <f>'Intermediate Calcs'!S4</f>
        <v>0.78330460137648728</v>
      </c>
      <c r="T4" s="102">
        <f>'Intermediate Calcs'!T4</f>
        <v>0.75975228067554545</v>
      </c>
      <c r="U4" s="102">
        <f>'Intermediate Calcs'!U4</f>
        <v>0.73690812868627109</v>
      </c>
      <c r="V4" s="102">
        <f>'Intermediate Calcs'!V4</f>
        <v>0.71475085226602442</v>
      </c>
      <c r="W4" s="102">
        <f>'Intermediate Calcs'!W4</f>
        <v>0.69325979851214781</v>
      </c>
      <c r="X4" s="102">
        <f>'Intermediate Calcs'!X4</f>
        <v>0.67241493551129761</v>
      </c>
      <c r="Y4" s="102">
        <f>'Intermediate Calcs'!Y4</f>
        <v>0.65219683366760206</v>
      </c>
      <c r="Z4" s="102">
        <f>'Intermediate Calcs'!Z4</f>
        <v>0.63258664759224259</v>
      </c>
      <c r="AA4" s="102">
        <f>'Intermediate Calcs'!AA4</f>
        <v>0.6135660985375776</v>
      </c>
      <c r="AB4" s="102">
        <f>'Intermediate Calcs'!AB4</f>
        <v>0.59511745735943511</v>
      </c>
      <c r="AC4" s="102">
        <f>'Intermediate Calcs'!AC4</f>
        <v>0.57722352799169274</v>
      </c>
      <c r="AD4" s="102">
        <f>'Intermediate Calcs'!AD4</f>
        <v>0.55986763141774276</v>
      </c>
      <c r="AE4" s="102">
        <f>'Intermediate Calcs'!AE4</f>
        <v>0.54303359012390184</v>
      </c>
      <c r="AF4" s="102">
        <f>'Intermediate Calcs'!AF4</f>
        <v>0.52670571302027336</v>
      </c>
      <c r="AG4" s="102">
        <f>'Intermediate Calcs'!AG4</f>
        <v>0.51086878081500819</v>
      </c>
      <c r="AH4" s="102">
        <f>'Intermediate Calcs'!AH4</f>
        <v>0.49550803182832992</v>
      </c>
      <c r="AI4" s="102">
        <f>'Intermediate Calcs'!AI4</f>
        <v>0.4806091482331038</v>
      </c>
      <c r="AJ4" s="102">
        <f>'Intermediate Calcs'!AJ4</f>
        <v>0.46615824270912104</v>
      </c>
      <c r="AK4" s="102">
        <f>'Intermediate Calcs'!AK4</f>
        <v>0.4521418454986626</v>
      </c>
      <c r="AL4" s="102">
        <f>'Intermediate Calcs'!AL4</f>
        <v>0.4385468918512731</v>
      </c>
      <c r="AM4" s="102">
        <f>'Intermediate Calcs'!AM4</f>
        <v>0.42536070984604568</v>
      </c>
      <c r="AN4" s="102">
        <f>'Intermediate Calcs'!AN4</f>
        <v>0.41257100858006374</v>
      </c>
      <c r="AO4" s="102">
        <f>'Intermediate Calcs'!AO4</f>
        <v>0.400165866711992</v>
      </c>
      <c r="AP4" s="102">
        <f>'Intermediate Calcs'!AP4</f>
        <v>0.38813372135013779</v>
      </c>
      <c r="AQ4" s="102">
        <f>'Intermediate Calcs'!AQ4</f>
        <v>0.37646335727462438</v>
      </c>
      <c r="AR4" s="102">
        <f>'Intermediate Calcs'!AR4</f>
        <v>0.36514389648363188</v>
      </c>
      <c r="AS4" s="102">
        <f>'Intermediate Calcs'!AS4</f>
        <v>0.35416478805395912</v>
      </c>
      <c r="AT4" s="102">
        <f>'Intermediate Calcs'!AT4</f>
        <v>0.34351579830645895</v>
      </c>
      <c r="AU4" s="102">
        <f>'Intermediate Calcs'!AU4</f>
        <v>0.33318700126717649</v>
      </c>
      <c r="AV4" s="102">
        <f>'Intermediate Calcs'!AV4</f>
        <v>0.32316876941530209</v>
      </c>
      <c r="AW4" s="102">
        <f>'Intermediate Calcs'!AW4</f>
        <v>0.31345176470931341</v>
      </c>
      <c r="AX4" s="102">
        <f>'Intermediate Calcs'!AX4</f>
        <v>0.30402692988294228</v>
      </c>
      <c r="AY4" s="102">
        <f>'Intermediate Calcs'!AY4</f>
        <v>0.29488548000285381</v>
      </c>
      <c r="AZ4" s="102">
        <f>'Intermediate Calcs'!AZ4</f>
        <v>0.29488548000285381</v>
      </c>
      <c r="BA4" s="102">
        <f>'Intermediate Calcs'!BA4</f>
        <v>0.29488548000285381</v>
      </c>
      <c r="BB4" s="102">
        <f>'Intermediate Calcs'!BB4</f>
        <v>0.29488548000285381</v>
      </c>
    </row>
    <row r="5" spans="1:54">
      <c r="A5" s="20"/>
      <c r="B5" s="13"/>
      <c r="C5" s="13"/>
      <c r="E5" s="12" t="s">
        <v>39</v>
      </c>
      <c r="F5" s="12" t="s">
        <v>40</v>
      </c>
      <c r="G5" s="21" t="s">
        <v>41</v>
      </c>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row>
    <row r="6" spans="1:54" ht="15.75">
      <c r="A6" s="28"/>
      <c r="B6" s="29"/>
      <c r="C6" s="29"/>
      <c r="D6" s="26"/>
      <c r="E6" s="23"/>
      <c r="F6" s="23"/>
      <c r="G6" s="30"/>
      <c r="H6" s="25"/>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6"/>
      <c r="AY6" s="26"/>
      <c r="AZ6" s="26"/>
      <c r="BA6" s="26"/>
      <c r="BB6" s="26"/>
    </row>
    <row r="7" spans="1:54" s="79" customFormat="1" ht="15.75">
      <c r="A7" s="148" t="s">
        <v>42</v>
      </c>
      <c r="B7" s="149"/>
      <c r="C7" s="149"/>
      <c r="D7" s="150"/>
      <c r="E7" s="151"/>
      <c r="F7" s="151"/>
      <c r="G7" s="152"/>
      <c r="H7" s="8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0"/>
      <c r="AY7" s="150"/>
      <c r="AZ7" s="150"/>
      <c r="BA7" s="150"/>
      <c r="BB7" s="150"/>
    </row>
    <row r="8" spans="1:54" s="14" customFormat="1" ht="15.75">
      <c r="A8" s="67" t="s">
        <v>43</v>
      </c>
      <c r="B8" s="22"/>
      <c r="C8" s="22"/>
      <c r="E8" s="38"/>
      <c r="F8" s="38"/>
      <c r="G8" s="68"/>
      <c r="H8" s="35"/>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row>
    <row r="9" spans="1:54" s="14" customFormat="1" ht="15.75">
      <c r="A9" s="67"/>
      <c r="B9" s="22"/>
      <c r="C9" s="22"/>
      <c r="E9" s="38"/>
      <c r="F9" s="38"/>
      <c r="G9" s="68"/>
      <c r="H9" s="35"/>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row>
    <row r="10" spans="1:54" s="14" customFormat="1" ht="15.75">
      <c r="A10" s="67"/>
      <c r="B10" s="22"/>
      <c r="C10" s="22" t="s">
        <v>44</v>
      </c>
      <c r="E10" s="38"/>
      <c r="F10" s="38"/>
      <c r="G10" s="68"/>
      <c r="H10" s="35"/>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row>
    <row r="11" spans="1:54" s="14" customFormat="1" ht="15.75">
      <c r="A11" s="67"/>
      <c r="B11" s="22"/>
      <c r="C11" s="22"/>
      <c r="E11" s="14" t="s">
        <v>45</v>
      </c>
      <c r="F11" s="38"/>
      <c r="G11" s="34" t="s">
        <v>46</v>
      </c>
      <c r="H11" s="69">
        <f t="shared" ref="H11:H15" si="0">SUM(I11:BB11)</f>
        <v>-772094.57547169772</v>
      </c>
      <c r="I11" s="103">
        <f>'Intermediate Calcs'!I23</f>
        <v>0</v>
      </c>
      <c r="J11" s="103">
        <f>'Intermediate Calcs'!J23</f>
        <v>0</v>
      </c>
      <c r="K11" s="103">
        <f>'Intermediate Calcs'!K23</f>
        <v>0</v>
      </c>
      <c r="L11" s="103">
        <f>'Intermediate Calcs'!L23</f>
        <v>0</v>
      </c>
      <c r="M11" s="103">
        <f>'Intermediate Calcs'!M23</f>
        <v>0</v>
      </c>
      <c r="N11" s="103">
        <f>'Intermediate Calcs'!N23</f>
        <v>0</v>
      </c>
      <c r="O11" s="103">
        <f>'Intermediate Calcs'!O23</f>
        <v>0</v>
      </c>
      <c r="P11" s="103">
        <f>'Intermediate Calcs'!P23</f>
        <v>-29320.047169811318</v>
      </c>
      <c r="Q11" s="103">
        <f>'Intermediate Calcs'!Q23</f>
        <v>-39093.39622641509</v>
      </c>
      <c r="R11" s="103">
        <f>'Intermediate Calcs'!R23</f>
        <v>-39093.39622641509</v>
      </c>
      <c r="S11" s="103">
        <f>'Intermediate Calcs'!S23</f>
        <v>-39093.39622641509</v>
      </c>
      <c r="T11" s="103">
        <f>'Intermediate Calcs'!T23</f>
        <v>-39093.39622641509</v>
      </c>
      <c r="U11" s="103">
        <f>'Intermediate Calcs'!U23</f>
        <v>-39093.39622641509</v>
      </c>
      <c r="V11" s="103">
        <f>'Intermediate Calcs'!V23</f>
        <v>-39093.39622641509</v>
      </c>
      <c r="W11" s="103">
        <f>'Intermediate Calcs'!W23</f>
        <v>-39093.39622641509</v>
      </c>
      <c r="X11" s="103">
        <f>'Intermediate Calcs'!X23</f>
        <v>-39093.39622641509</v>
      </c>
      <c r="Y11" s="103">
        <f>'Intermediate Calcs'!Y23</f>
        <v>-39093.39622641509</v>
      </c>
      <c r="Z11" s="103">
        <f>'Intermediate Calcs'!Z23</f>
        <v>-39093.39622641509</v>
      </c>
      <c r="AA11" s="103">
        <f>'Intermediate Calcs'!AA23</f>
        <v>-39093.39622641509</v>
      </c>
      <c r="AB11" s="103">
        <f>'Intermediate Calcs'!AB23</f>
        <v>-39093.39622641509</v>
      </c>
      <c r="AC11" s="103">
        <f>'Intermediate Calcs'!AC23</f>
        <v>-39093.39622641509</v>
      </c>
      <c r="AD11" s="103">
        <f>'Intermediate Calcs'!AD23</f>
        <v>-39093.39622641509</v>
      </c>
      <c r="AE11" s="103">
        <f>'Intermediate Calcs'!AE23</f>
        <v>-39093.39622641509</v>
      </c>
      <c r="AF11" s="103">
        <f>'Intermediate Calcs'!AF23</f>
        <v>-39093.39622641509</v>
      </c>
      <c r="AG11" s="103">
        <f>'Intermediate Calcs'!AG23</f>
        <v>-39093.39622641509</v>
      </c>
      <c r="AH11" s="103">
        <f>'Intermediate Calcs'!AH23</f>
        <v>-39093.39622641509</v>
      </c>
      <c r="AI11" s="103">
        <f>'Intermediate Calcs'!AI23</f>
        <v>-39093.39622641509</v>
      </c>
      <c r="AJ11" s="103">
        <f>'Intermediate Calcs'!AJ23</f>
        <v>0</v>
      </c>
      <c r="AK11" s="103">
        <f>'Intermediate Calcs'!AK23</f>
        <v>0</v>
      </c>
      <c r="AL11" s="103">
        <f>'Intermediate Calcs'!AL23</f>
        <v>0</v>
      </c>
      <c r="AM11" s="103">
        <f>'Intermediate Calcs'!AM23</f>
        <v>0</v>
      </c>
      <c r="AN11" s="103">
        <f>'Intermediate Calcs'!AN23</f>
        <v>0</v>
      </c>
      <c r="AO11" s="103">
        <f>'Intermediate Calcs'!AO23</f>
        <v>0</v>
      </c>
      <c r="AP11" s="103">
        <f>'Intermediate Calcs'!AP23</f>
        <v>0</v>
      </c>
      <c r="AQ11" s="103">
        <f>'Intermediate Calcs'!AQ23</f>
        <v>0</v>
      </c>
      <c r="AR11" s="103">
        <f>'Intermediate Calcs'!AR23</f>
        <v>0</v>
      </c>
      <c r="AS11" s="103">
        <f>'Intermediate Calcs'!AS23</f>
        <v>0</v>
      </c>
      <c r="AT11" s="103">
        <f>'Intermediate Calcs'!AT23</f>
        <v>0</v>
      </c>
      <c r="AU11" s="103">
        <f>'Intermediate Calcs'!AU23</f>
        <v>0</v>
      </c>
      <c r="AV11" s="103">
        <f>'Intermediate Calcs'!AV23</f>
        <v>0</v>
      </c>
      <c r="AW11" s="103">
        <f>'Intermediate Calcs'!AW23</f>
        <v>0</v>
      </c>
      <c r="AX11" s="103">
        <f>'Intermediate Calcs'!AX23</f>
        <v>0</v>
      </c>
      <c r="AY11" s="103">
        <f>'Intermediate Calcs'!AY23</f>
        <v>0</v>
      </c>
      <c r="AZ11" s="103">
        <f>'Intermediate Calcs'!AZ23</f>
        <v>0</v>
      </c>
      <c r="BA11" s="103">
        <f>'Intermediate Calcs'!BA23</f>
        <v>0</v>
      </c>
      <c r="BB11" s="103">
        <f>'Intermediate Calcs'!BB23</f>
        <v>0</v>
      </c>
    </row>
    <row r="12" spans="1:54" s="14" customFormat="1" ht="15.75">
      <c r="A12" s="67"/>
      <c r="B12" s="22"/>
      <c r="C12" s="22"/>
      <c r="E12" s="14" t="s">
        <v>47</v>
      </c>
      <c r="F12" s="38"/>
      <c r="G12" s="34" t="s">
        <v>46</v>
      </c>
      <c r="H12" s="69">
        <f t="shared" si="0"/>
        <v>6008817.3913043486</v>
      </c>
      <c r="I12" s="103">
        <f>'Intermediate Calcs'!I108</f>
        <v>0</v>
      </c>
      <c r="J12" s="103">
        <f>'Intermediate Calcs'!J108</f>
        <v>0</v>
      </c>
      <c r="K12" s="103">
        <f>'Intermediate Calcs'!K108</f>
        <v>0</v>
      </c>
      <c r="L12" s="103">
        <f>'Intermediate Calcs'!L108</f>
        <v>0</v>
      </c>
      <c r="M12" s="103">
        <f>'Intermediate Calcs'!M108</f>
        <v>0</v>
      </c>
      <c r="N12" s="103">
        <f>'Intermediate Calcs'!N108</f>
        <v>0</v>
      </c>
      <c r="O12" s="103">
        <f>'Intermediate Calcs'!O108</f>
        <v>0</v>
      </c>
      <c r="P12" s="103">
        <f>'Intermediate Calcs'!P108</f>
        <v>0</v>
      </c>
      <c r="Q12" s="103">
        <f>'Intermediate Calcs'!Q108</f>
        <v>0</v>
      </c>
      <c r="R12" s="103">
        <f>'Intermediate Calcs'!R108</f>
        <v>0</v>
      </c>
      <c r="S12" s="103">
        <f>'Intermediate Calcs'!S108</f>
        <v>0</v>
      </c>
      <c r="T12" s="103">
        <f>'Intermediate Calcs'!T108</f>
        <v>0</v>
      </c>
      <c r="U12" s="103">
        <f>'Intermediate Calcs'!U108</f>
        <v>0</v>
      </c>
      <c r="V12" s="103">
        <f>'Intermediate Calcs'!V108</f>
        <v>0</v>
      </c>
      <c r="W12" s="103">
        <f>'Intermediate Calcs'!W108</f>
        <v>0</v>
      </c>
      <c r="X12" s="103">
        <f>'Intermediate Calcs'!X108</f>
        <v>0</v>
      </c>
      <c r="Y12" s="103">
        <f>'Intermediate Calcs'!Y108</f>
        <v>0</v>
      </c>
      <c r="Z12" s="103">
        <f>'Intermediate Calcs'!Z108</f>
        <v>0</v>
      </c>
      <c r="AA12" s="103">
        <f>'Intermediate Calcs'!AA108</f>
        <v>0</v>
      </c>
      <c r="AB12" s="103">
        <f>'Intermediate Calcs'!AB108</f>
        <v>0</v>
      </c>
      <c r="AC12" s="103">
        <f>'Intermediate Calcs'!AC108</f>
        <v>0</v>
      </c>
      <c r="AD12" s="103">
        <f>'Intermediate Calcs'!AD108</f>
        <v>0</v>
      </c>
      <c r="AE12" s="103">
        <f>'Intermediate Calcs'!AE108</f>
        <v>0</v>
      </c>
      <c r="AF12" s="103">
        <f>'Intermediate Calcs'!AF108</f>
        <v>0</v>
      </c>
      <c r="AG12" s="103">
        <f>'Intermediate Calcs'!AG108</f>
        <v>0</v>
      </c>
      <c r="AH12" s="103">
        <f>'Intermediate Calcs'!AH108</f>
        <v>0</v>
      </c>
      <c r="AI12" s="103">
        <f>'Intermediate Calcs'!AI108</f>
        <v>6008817.3913043486</v>
      </c>
      <c r="AJ12" s="103">
        <f>'Intermediate Calcs'!AJ108</f>
        <v>0</v>
      </c>
      <c r="AK12" s="103">
        <f>'Intermediate Calcs'!AK108</f>
        <v>0</v>
      </c>
      <c r="AL12" s="103">
        <f>'Intermediate Calcs'!AL108</f>
        <v>0</v>
      </c>
      <c r="AM12" s="103">
        <f>'Intermediate Calcs'!AM108</f>
        <v>0</v>
      </c>
      <c r="AN12" s="103">
        <f>'Intermediate Calcs'!AN108</f>
        <v>0</v>
      </c>
      <c r="AO12" s="103">
        <f>'Intermediate Calcs'!AO108</f>
        <v>0</v>
      </c>
      <c r="AP12" s="103">
        <f>'Intermediate Calcs'!AP108</f>
        <v>0</v>
      </c>
      <c r="AQ12" s="103">
        <f>'Intermediate Calcs'!AQ108</f>
        <v>0</v>
      </c>
      <c r="AR12" s="103">
        <f>'Intermediate Calcs'!AR108</f>
        <v>0</v>
      </c>
      <c r="AS12" s="103">
        <f>'Intermediate Calcs'!AS108</f>
        <v>0</v>
      </c>
      <c r="AT12" s="103">
        <f>'Intermediate Calcs'!AT108</f>
        <v>0</v>
      </c>
      <c r="AU12" s="103">
        <f>'Intermediate Calcs'!AU108</f>
        <v>0</v>
      </c>
      <c r="AV12" s="103">
        <f>'Intermediate Calcs'!AV108</f>
        <v>0</v>
      </c>
      <c r="AW12" s="103">
        <f>'Intermediate Calcs'!AW108</f>
        <v>0</v>
      </c>
      <c r="AX12" s="103">
        <f>'Intermediate Calcs'!AX108</f>
        <v>0</v>
      </c>
      <c r="AY12" s="103">
        <f>'Intermediate Calcs'!AY108</f>
        <v>0</v>
      </c>
      <c r="AZ12" s="103">
        <f>'Intermediate Calcs'!AZ108</f>
        <v>0</v>
      </c>
      <c r="BA12" s="103">
        <f>'Intermediate Calcs'!BA108</f>
        <v>0</v>
      </c>
      <c r="BB12" s="103">
        <f>'Intermediate Calcs'!BB108</f>
        <v>0</v>
      </c>
    </row>
    <row r="13" spans="1:54" s="14" customFormat="1" ht="15.75">
      <c r="A13" s="67"/>
      <c r="B13" s="22"/>
      <c r="C13" s="22"/>
      <c r="E13" s="14" t="s">
        <v>417</v>
      </c>
      <c r="F13" s="38"/>
      <c r="G13" s="34" t="s">
        <v>46</v>
      </c>
      <c r="H13" s="69">
        <f t="shared" si="0"/>
        <v>8732647.3171723038</v>
      </c>
      <c r="I13" s="103">
        <f>'Intermediate Calcs'!I117</f>
        <v>0</v>
      </c>
      <c r="J13" s="103">
        <f>'Intermediate Calcs'!J117</f>
        <v>0</v>
      </c>
      <c r="K13" s="103">
        <f>'Intermediate Calcs'!K117</f>
        <v>0</v>
      </c>
      <c r="L13" s="103">
        <f>'Intermediate Calcs'!L117</f>
        <v>0</v>
      </c>
      <c r="M13" s="103">
        <f>'Intermediate Calcs'!M117</f>
        <v>0</v>
      </c>
      <c r="N13" s="103">
        <f>'Intermediate Calcs'!N117</f>
        <v>0</v>
      </c>
      <c r="O13" s="103">
        <f>'Intermediate Calcs'!O117</f>
        <v>0</v>
      </c>
      <c r="P13" s="103">
        <f>'Intermediate Calcs'!P117</f>
        <v>8732647.3171723038</v>
      </c>
      <c r="Q13" s="103">
        <f>'Intermediate Calcs'!Q117</f>
        <v>0</v>
      </c>
      <c r="R13" s="103">
        <f>'Intermediate Calcs'!R117</f>
        <v>0</v>
      </c>
      <c r="S13" s="103">
        <f>'Intermediate Calcs'!S117</f>
        <v>0</v>
      </c>
      <c r="T13" s="103">
        <f>'Intermediate Calcs'!T117</f>
        <v>0</v>
      </c>
      <c r="U13" s="103">
        <f>'Intermediate Calcs'!U117</f>
        <v>0</v>
      </c>
      <c r="V13" s="103">
        <f>'Intermediate Calcs'!V117</f>
        <v>0</v>
      </c>
      <c r="W13" s="103">
        <f>'Intermediate Calcs'!W117</f>
        <v>0</v>
      </c>
      <c r="X13" s="103">
        <f>'Intermediate Calcs'!X117</f>
        <v>0</v>
      </c>
      <c r="Y13" s="103">
        <f>'Intermediate Calcs'!Y117</f>
        <v>0</v>
      </c>
      <c r="Z13" s="103">
        <f>'Intermediate Calcs'!Z117</f>
        <v>0</v>
      </c>
      <c r="AA13" s="103">
        <f>'Intermediate Calcs'!AA117</f>
        <v>0</v>
      </c>
      <c r="AB13" s="103">
        <f>'Intermediate Calcs'!AB117</f>
        <v>0</v>
      </c>
      <c r="AC13" s="103">
        <f>'Intermediate Calcs'!AC117</f>
        <v>0</v>
      </c>
      <c r="AD13" s="103">
        <f>'Intermediate Calcs'!AD117</f>
        <v>0</v>
      </c>
      <c r="AE13" s="103">
        <f>'Intermediate Calcs'!AE117</f>
        <v>0</v>
      </c>
      <c r="AF13" s="103">
        <f>'Intermediate Calcs'!AF117</f>
        <v>0</v>
      </c>
      <c r="AG13" s="103">
        <f>'Intermediate Calcs'!AG117</f>
        <v>0</v>
      </c>
      <c r="AH13" s="103">
        <f>'Intermediate Calcs'!AH117</f>
        <v>0</v>
      </c>
      <c r="AI13" s="103">
        <f>'Intermediate Calcs'!AI117</f>
        <v>0</v>
      </c>
      <c r="AJ13" s="103">
        <f>'Intermediate Calcs'!AJ117</f>
        <v>0</v>
      </c>
      <c r="AK13" s="103">
        <f>'Intermediate Calcs'!AK117</f>
        <v>0</v>
      </c>
      <c r="AL13" s="103">
        <f>'Intermediate Calcs'!AL117</f>
        <v>0</v>
      </c>
      <c r="AM13" s="103">
        <f>'Intermediate Calcs'!AM117</f>
        <v>0</v>
      </c>
      <c r="AN13" s="103">
        <f>'Intermediate Calcs'!AN117</f>
        <v>0</v>
      </c>
      <c r="AO13" s="103">
        <f>'Intermediate Calcs'!AO117</f>
        <v>0</v>
      </c>
      <c r="AP13" s="103">
        <f>'Intermediate Calcs'!AP117</f>
        <v>0</v>
      </c>
      <c r="AQ13" s="103">
        <f>'Intermediate Calcs'!AQ117</f>
        <v>0</v>
      </c>
      <c r="AR13" s="103">
        <f>'Intermediate Calcs'!AR117</f>
        <v>0</v>
      </c>
      <c r="AS13" s="103">
        <f>'Intermediate Calcs'!AS117</f>
        <v>0</v>
      </c>
      <c r="AT13" s="103">
        <f>'Intermediate Calcs'!AT117</f>
        <v>0</v>
      </c>
      <c r="AU13" s="103">
        <f>'Intermediate Calcs'!AU117</f>
        <v>0</v>
      </c>
      <c r="AV13" s="103">
        <f>'Intermediate Calcs'!AV117</f>
        <v>0</v>
      </c>
      <c r="AW13" s="103">
        <f>'Intermediate Calcs'!AW117</f>
        <v>0</v>
      </c>
      <c r="AX13" s="103">
        <f>'Intermediate Calcs'!AX117</f>
        <v>0</v>
      </c>
      <c r="AY13" s="103">
        <f>'Intermediate Calcs'!AY117</f>
        <v>0</v>
      </c>
      <c r="AZ13" s="103">
        <f>'Intermediate Calcs'!AZ117</f>
        <v>0</v>
      </c>
      <c r="BA13" s="103">
        <f>'Intermediate Calcs'!BA117</f>
        <v>0</v>
      </c>
      <c r="BB13" s="103">
        <f>'Intermediate Calcs'!BB117</f>
        <v>0</v>
      </c>
    </row>
    <row r="14" spans="1:54" s="14" customFormat="1" ht="15.75">
      <c r="A14" s="67"/>
      <c r="B14" s="22"/>
      <c r="C14" s="22"/>
      <c r="E14" s="14" t="s">
        <v>49</v>
      </c>
      <c r="F14" s="38"/>
      <c r="G14" s="34" t="s">
        <v>46</v>
      </c>
      <c r="H14" s="69">
        <f t="shared" si="0"/>
        <v>375168.79422000248</v>
      </c>
      <c r="I14" s="103">
        <f>'Intermediate Calcs'!I153</f>
        <v>0</v>
      </c>
      <c r="J14" s="103">
        <f>'Intermediate Calcs'!J153</f>
        <v>0</v>
      </c>
      <c r="K14" s="103">
        <f>'Intermediate Calcs'!K153</f>
        <v>0</v>
      </c>
      <c r="L14" s="103">
        <f>'Intermediate Calcs'!L153</f>
        <v>0</v>
      </c>
      <c r="M14" s="103">
        <f>'Intermediate Calcs'!M153</f>
        <v>0</v>
      </c>
      <c r="N14" s="103">
        <f>'Intermediate Calcs'!N153</f>
        <v>0</v>
      </c>
      <c r="O14" s="103">
        <f>'Intermediate Calcs'!O153</f>
        <v>0</v>
      </c>
      <c r="P14" s="103">
        <f>'Intermediate Calcs'!P153</f>
        <v>8444.1555000003118</v>
      </c>
      <c r="Q14" s="103">
        <f>'Intermediate Calcs'!Q153</f>
        <v>13056.592032000184</v>
      </c>
      <c r="R14" s="103">
        <f>'Intermediate Calcs'!R153</f>
        <v>14854.310064000403</v>
      </c>
      <c r="S14" s="103">
        <f>'Intermediate Calcs'!S153</f>
        <v>16652.028096000617</v>
      </c>
      <c r="T14" s="103">
        <f>'Intermediate Calcs'!T153</f>
        <v>18449.746128000384</v>
      </c>
      <c r="U14" s="103">
        <f>'Intermediate Calcs'!U153</f>
        <v>20247.464160000607</v>
      </c>
      <c r="V14" s="103">
        <f>'Intermediate Calcs'!V153</f>
        <v>20247.464160000003</v>
      </c>
      <c r="W14" s="103">
        <f>'Intermediate Calcs'!W153</f>
        <v>20247.464160000003</v>
      </c>
      <c r="X14" s="103">
        <f>'Intermediate Calcs'!X153</f>
        <v>20247.464160000003</v>
      </c>
      <c r="Y14" s="103">
        <f>'Intermediate Calcs'!Y153</f>
        <v>20247.464160000003</v>
      </c>
      <c r="Z14" s="103">
        <f>'Intermediate Calcs'!Z153</f>
        <v>20247.464160000003</v>
      </c>
      <c r="AA14" s="103">
        <f>'Intermediate Calcs'!AA153</f>
        <v>20247.464160000003</v>
      </c>
      <c r="AB14" s="103">
        <f>'Intermediate Calcs'!AB153</f>
        <v>20247.464160000003</v>
      </c>
      <c r="AC14" s="103">
        <f>'Intermediate Calcs'!AC153</f>
        <v>20247.464160000003</v>
      </c>
      <c r="AD14" s="103">
        <f>'Intermediate Calcs'!AD153</f>
        <v>20247.464160000003</v>
      </c>
      <c r="AE14" s="103">
        <f>'Intermediate Calcs'!AE153</f>
        <v>20247.464160000003</v>
      </c>
      <c r="AF14" s="103">
        <f>'Intermediate Calcs'!AF153</f>
        <v>20247.464160000003</v>
      </c>
      <c r="AG14" s="103">
        <f>'Intermediate Calcs'!AG153</f>
        <v>20247.464160000003</v>
      </c>
      <c r="AH14" s="103">
        <f>'Intermediate Calcs'!AH153</f>
        <v>20247.464160000003</v>
      </c>
      <c r="AI14" s="103">
        <f>'Intermediate Calcs'!AI153</f>
        <v>20247.464160000003</v>
      </c>
      <c r="AJ14" s="103">
        <f>'Intermediate Calcs'!AJ153</f>
        <v>0</v>
      </c>
      <c r="AK14" s="103">
        <f>'Intermediate Calcs'!AK153</f>
        <v>0</v>
      </c>
      <c r="AL14" s="103">
        <f>'Intermediate Calcs'!AL153</f>
        <v>0</v>
      </c>
      <c r="AM14" s="103">
        <f>'Intermediate Calcs'!AM153</f>
        <v>0</v>
      </c>
      <c r="AN14" s="103">
        <f>'Intermediate Calcs'!AN153</f>
        <v>0</v>
      </c>
      <c r="AO14" s="103">
        <f>'Intermediate Calcs'!AO153</f>
        <v>0</v>
      </c>
      <c r="AP14" s="103">
        <f>'Intermediate Calcs'!AP153</f>
        <v>0</v>
      </c>
      <c r="AQ14" s="103">
        <f>'Intermediate Calcs'!AQ153</f>
        <v>0</v>
      </c>
      <c r="AR14" s="103">
        <f>'Intermediate Calcs'!AR153</f>
        <v>0</v>
      </c>
      <c r="AS14" s="103">
        <f>'Intermediate Calcs'!AS153</f>
        <v>0</v>
      </c>
      <c r="AT14" s="103">
        <f>'Intermediate Calcs'!AT153</f>
        <v>0</v>
      </c>
      <c r="AU14" s="103">
        <f>'Intermediate Calcs'!AU153</f>
        <v>0</v>
      </c>
      <c r="AV14" s="103">
        <f>'Intermediate Calcs'!AV153</f>
        <v>0</v>
      </c>
      <c r="AW14" s="103">
        <f>'Intermediate Calcs'!AW153</f>
        <v>0</v>
      </c>
      <c r="AX14" s="103">
        <f>'Intermediate Calcs'!AX153</f>
        <v>0</v>
      </c>
      <c r="AY14" s="103">
        <f>'Intermediate Calcs'!AY153</f>
        <v>0</v>
      </c>
      <c r="AZ14" s="103">
        <f>'Intermediate Calcs'!AZ153</f>
        <v>0</v>
      </c>
      <c r="BA14" s="103">
        <f>'Intermediate Calcs'!BA153</f>
        <v>0</v>
      </c>
      <c r="BB14" s="103">
        <f>'Intermediate Calcs'!BB153</f>
        <v>0</v>
      </c>
    </row>
    <row r="15" spans="1:54" s="14" customFormat="1" ht="15.75">
      <c r="A15" s="67"/>
      <c r="B15" s="22"/>
      <c r="C15" s="22"/>
      <c r="E15" s="14" t="s">
        <v>50</v>
      </c>
      <c r="F15" s="38"/>
      <c r="G15" s="34" t="s">
        <v>46</v>
      </c>
      <c r="H15" s="69">
        <f t="shared" si="0"/>
        <v>403005.64604639087</v>
      </c>
      <c r="I15" s="103">
        <f>'Intermediate Calcs'!I45</f>
        <v>0</v>
      </c>
      <c r="J15" s="103">
        <f>'Intermediate Calcs'!J45</f>
        <v>0</v>
      </c>
      <c r="K15" s="103">
        <f>'Intermediate Calcs'!K45</f>
        <v>0</v>
      </c>
      <c r="L15" s="103">
        <f>'Intermediate Calcs'!L45</f>
        <v>0</v>
      </c>
      <c r="M15" s="103">
        <f>'Intermediate Calcs'!M45</f>
        <v>0</v>
      </c>
      <c r="N15" s="103">
        <f>'Intermediate Calcs'!N45</f>
        <v>0</v>
      </c>
      <c r="O15" s="103">
        <f>'Intermediate Calcs'!O45</f>
        <v>0</v>
      </c>
      <c r="P15" s="103">
        <f>'Intermediate Calcs'!P45</f>
        <v>14299.391156199597</v>
      </c>
      <c r="Q15" s="103">
        <f>'Intermediate Calcs'!Q45</f>
        <v>19199.315859057329</v>
      </c>
      <c r="R15" s="103">
        <f>'Intermediate Calcs'!R45</f>
        <v>19333.711070070724</v>
      </c>
      <c r="S15" s="103">
        <f>'Intermediate Calcs'!S45</f>
        <v>19469.047047561216</v>
      </c>
      <c r="T15" s="103">
        <f>'Intermediate Calcs'!T45</f>
        <v>19605.330376894148</v>
      </c>
      <c r="U15" s="103">
        <f>'Intermediate Calcs'!U45</f>
        <v>19742.567689532403</v>
      </c>
      <c r="V15" s="103">
        <f>'Intermediate Calcs'!V45</f>
        <v>19880.765663359125</v>
      </c>
      <c r="W15" s="103">
        <f>'Intermediate Calcs'!W45</f>
        <v>20019.931023002639</v>
      </c>
      <c r="X15" s="103">
        <f>'Intermediate Calcs'!X45</f>
        <v>20160.070540163655</v>
      </c>
      <c r="Y15" s="103">
        <f>'Intermediate Calcs'!Y45</f>
        <v>20301.1910339448</v>
      </c>
      <c r="Z15" s="103">
        <f>'Intermediate Calcs'!Z45</f>
        <v>20443.299371182409</v>
      </c>
      <c r="AA15" s="103">
        <f>'Intermediate Calcs'!AA45</f>
        <v>20586.402466780681</v>
      </c>
      <c r="AB15" s="103">
        <f>'Intermediate Calcs'!AB45</f>
        <v>20730.507284048144</v>
      </c>
      <c r="AC15" s="103">
        <f>'Intermediate Calcs'!AC45</f>
        <v>20875.620835036483</v>
      </c>
      <c r="AD15" s="103">
        <f>'Intermediate Calcs'!AD45</f>
        <v>21021.750180881732</v>
      </c>
      <c r="AE15" s="103">
        <f>'Intermediate Calcs'!AE45</f>
        <v>21168.902432147901</v>
      </c>
      <c r="AF15" s="103">
        <f>'Intermediate Calcs'!AF45</f>
        <v>21317.084749172936</v>
      </c>
      <c r="AG15" s="103">
        <f>'Intermediate Calcs'!AG45</f>
        <v>21466.304342417145</v>
      </c>
      <c r="AH15" s="103">
        <f>'Intermediate Calcs'!AH45</f>
        <v>21616.568472814062</v>
      </c>
      <c r="AI15" s="103">
        <f>'Intermediate Calcs'!AI45</f>
        <v>21767.884452123755</v>
      </c>
      <c r="AJ15" s="103">
        <f>'Intermediate Calcs'!AJ45</f>
        <v>0</v>
      </c>
      <c r="AK15" s="103">
        <f>'Intermediate Calcs'!AK45</f>
        <v>0</v>
      </c>
      <c r="AL15" s="103">
        <f>'Intermediate Calcs'!AL45</f>
        <v>0</v>
      </c>
      <c r="AM15" s="103">
        <f>'Intermediate Calcs'!AM45</f>
        <v>0</v>
      </c>
      <c r="AN15" s="103">
        <f>'Intermediate Calcs'!AN45</f>
        <v>0</v>
      </c>
      <c r="AO15" s="103">
        <f>'Intermediate Calcs'!AO45</f>
        <v>0</v>
      </c>
      <c r="AP15" s="103">
        <f>'Intermediate Calcs'!AP45</f>
        <v>0</v>
      </c>
      <c r="AQ15" s="103">
        <f>'Intermediate Calcs'!AQ45</f>
        <v>0</v>
      </c>
      <c r="AR15" s="103">
        <f>'Intermediate Calcs'!AR45</f>
        <v>0</v>
      </c>
      <c r="AS15" s="103">
        <f>'Intermediate Calcs'!AS45</f>
        <v>0</v>
      </c>
      <c r="AT15" s="103">
        <f>'Intermediate Calcs'!AT45</f>
        <v>0</v>
      </c>
      <c r="AU15" s="103">
        <f>'Intermediate Calcs'!AU45</f>
        <v>0</v>
      </c>
      <c r="AV15" s="103">
        <f>'Intermediate Calcs'!AV45</f>
        <v>0</v>
      </c>
      <c r="AW15" s="103">
        <f>'Intermediate Calcs'!AW45</f>
        <v>0</v>
      </c>
      <c r="AX15" s="103">
        <f>'Intermediate Calcs'!AX45</f>
        <v>0</v>
      </c>
      <c r="AY15" s="103">
        <f>'Intermediate Calcs'!AY45</f>
        <v>0</v>
      </c>
      <c r="AZ15" s="103">
        <f>'Intermediate Calcs'!AZ45</f>
        <v>0</v>
      </c>
      <c r="BA15" s="103">
        <f>'Intermediate Calcs'!BA45</f>
        <v>0</v>
      </c>
      <c r="BB15" s="103">
        <f>'Intermediate Calcs'!BB45</f>
        <v>0</v>
      </c>
    </row>
    <row r="16" spans="1:54" s="14" customFormat="1" ht="15.75">
      <c r="A16" s="67"/>
      <c r="B16" s="22"/>
      <c r="C16" s="22"/>
      <c r="E16" s="14" t="s">
        <v>51</v>
      </c>
      <c r="F16" s="38"/>
      <c r="G16" s="34" t="s">
        <v>46</v>
      </c>
      <c r="H16" s="69">
        <f>SUM(I16:BB16)</f>
        <v>3570730.025372027</v>
      </c>
      <c r="I16" s="103">
        <f>'Intermediate Calcs'!I55</f>
        <v>0</v>
      </c>
      <c r="J16" s="103">
        <f>'Intermediate Calcs'!J55</f>
        <v>0</v>
      </c>
      <c r="K16" s="103">
        <f>'Intermediate Calcs'!K55</f>
        <v>0</v>
      </c>
      <c r="L16" s="103">
        <f>'Intermediate Calcs'!L55</f>
        <v>0</v>
      </c>
      <c r="M16" s="103">
        <f>'Intermediate Calcs'!M55</f>
        <v>0</v>
      </c>
      <c r="N16" s="103">
        <f>'Intermediate Calcs'!N55</f>
        <v>0</v>
      </c>
      <c r="O16" s="103">
        <f>'Intermediate Calcs'!O55</f>
        <v>0</v>
      </c>
      <c r="P16" s="103">
        <f>'Intermediate Calcs'!P55</f>
        <v>126696.15387994735</v>
      </c>
      <c r="Q16" s="103">
        <f>'Intermediate Calcs'!Q55</f>
        <v>170110.70260947596</v>
      </c>
      <c r="R16" s="103">
        <f>'Intermediate Calcs'!R55</f>
        <v>171301.47752774225</v>
      </c>
      <c r="S16" s="103">
        <f>'Intermediate Calcs'!S55</f>
        <v>172500.58787043643</v>
      </c>
      <c r="T16" s="103">
        <f>'Intermediate Calcs'!T55</f>
        <v>173708.09198552949</v>
      </c>
      <c r="U16" s="103">
        <f>'Intermediate Calcs'!U55</f>
        <v>174924.04862942817</v>
      </c>
      <c r="V16" s="103">
        <f>'Intermediate Calcs'!V55</f>
        <v>176148.51696983416</v>
      </c>
      <c r="W16" s="103">
        <f>'Intermediate Calcs'!W55</f>
        <v>177381.55658862295</v>
      </c>
      <c r="X16" s="103">
        <f>'Intermediate Calcs'!X55</f>
        <v>178623.22748474329</v>
      </c>
      <c r="Y16" s="103">
        <f>'Intermediate Calcs'!Y55</f>
        <v>179873.59007713647</v>
      </c>
      <c r="Z16" s="103">
        <f>'Intermediate Calcs'!Z55</f>
        <v>181132.70520767642</v>
      </c>
      <c r="AA16" s="103">
        <f>'Intermediate Calcs'!AA55</f>
        <v>182400.63414413008</v>
      </c>
      <c r="AB16" s="103">
        <f>'Intermediate Calcs'!AB55</f>
        <v>183677.43858313901</v>
      </c>
      <c r="AC16" s="103">
        <f>'Intermediate Calcs'!AC55</f>
        <v>184963.18065322097</v>
      </c>
      <c r="AD16" s="103">
        <f>'Intermediate Calcs'!AD55</f>
        <v>186257.92291779345</v>
      </c>
      <c r="AE16" s="103">
        <f>'Intermediate Calcs'!AE55</f>
        <v>187561.72837821799</v>
      </c>
      <c r="AF16" s="103">
        <f>'Intermediate Calcs'!AF55</f>
        <v>188874.66047686551</v>
      </c>
      <c r="AG16" s="103">
        <f>'Intermediate Calcs'!AG55</f>
        <v>190196.78310020358</v>
      </c>
      <c r="AH16" s="103">
        <f>'Intermediate Calcs'!AH55</f>
        <v>191528.16058190499</v>
      </c>
      <c r="AI16" s="103">
        <f>'Intermediate Calcs'!AI55</f>
        <v>192868.85770597824</v>
      </c>
      <c r="AJ16" s="103">
        <f>'Intermediate Calcs'!AJ55</f>
        <v>0</v>
      </c>
      <c r="AK16" s="103">
        <f>'Intermediate Calcs'!AK55</f>
        <v>0</v>
      </c>
      <c r="AL16" s="103">
        <f>'Intermediate Calcs'!AL55</f>
        <v>0</v>
      </c>
      <c r="AM16" s="103">
        <f>'Intermediate Calcs'!AM55</f>
        <v>0</v>
      </c>
      <c r="AN16" s="103">
        <f>'Intermediate Calcs'!AN55</f>
        <v>0</v>
      </c>
      <c r="AO16" s="103">
        <f>'Intermediate Calcs'!AO55</f>
        <v>0</v>
      </c>
      <c r="AP16" s="103">
        <f>'Intermediate Calcs'!AP55</f>
        <v>0</v>
      </c>
      <c r="AQ16" s="103">
        <f>'Intermediate Calcs'!AQ55</f>
        <v>0</v>
      </c>
      <c r="AR16" s="103">
        <f>'Intermediate Calcs'!AR55</f>
        <v>0</v>
      </c>
      <c r="AS16" s="103">
        <f>'Intermediate Calcs'!AS55</f>
        <v>0</v>
      </c>
      <c r="AT16" s="103">
        <f>'Intermediate Calcs'!AT55</f>
        <v>0</v>
      </c>
      <c r="AU16" s="103">
        <f>'Intermediate Calcs'!AU55</f>
        <v>0</v>
      </c>
      <c r="AV16" s="103">
        <f>'Intermediate Calcs'!AV55</f>
        <v>0</v>
      </c>
      <c r="AW16" s="103">
        <f>'Intermediate Calcs'!AW55</f>
        <v>0</v>
      </c>
      <c r="AX16" s="103">
        <f>'Intermediate Calcs'!AX55</f>
        <v>0</v>
      </c>
      <c r="AY16" s="103">
        <f>'Intermediate Calcs'!AY55</f>
        <v>0</v>
      </c>
      <c r="AZ16" s="103">
        <f>'Intermediate Calcs'!AZ55</f>
        <v>0</v>
      </c>
      <c r="BA16" s="103">
        <f>'Intermediate Calcs'!BA55</f>
        <v>0</v>
      </c>
      <c r="BB16" s="103">
        <f>'Intermediate Calcs'!BB55</f>
        <v>0</v>
      </c>
    </row>
    <row r="17" spans="1:54" s="14" customFormat="1" ht="15.75">
      <c r="A17" s="67"/>
      <c r="B17" s="22"/>
      <c r="C17" s="22"/>
      <c r="E17" s="14" t="s">
        <v>52</v>
      </c>
      <c r="F17" s="38"/>
      <c r="G17" s="34" t="s">
        <v>46</v>
      </c>
      <c r="H17" s="69">
        <f>SUM(I17:BB17)</f>
        <v>48051585.761010282</v>
      </c>
      <c r="I17" s="103">
        <f>'Intermediate Calcs'!I166</f>
        <v>0</v>
      </c>
      <c r="J17" s="103">
        <f>'Intermediate Calcs'!J166</f>
        <v>0</v>
      </c>
      <c r="K17" s="103">
        <f>'Intermediate Calcs'!K166</f>
        <v>0</v>
      </c>
      <c r="L17" s="103">
        <f>'Intermediate Calcs'!L166</f>
        <v>0</v>
      </c>
      <c r="M17" s="103">
        <f>'Intermediate Calcs'!M166</f>
        <v>0</v>
      </c>
      <c r="N17" s="103">
        <f>'Intermediate Calcs'!N166</f>
        <v>0</v>
      </c>
      <c r="O17" s="103">
        <f>'Intermediate Calcs'!O166</f>
        <v>0</v>
      </c>
      <c r="P17" s="103">
        <f>'Intermediate Calcs'!P166</f>
        <v>1078560.8752500345</v>
      </c>
      <c r="Q17" s="103">
        <f>'Intermediate Calcs'!Q166</f>
        <v>1669251.5518560214</v>
      </c>
      <c r="R17" s="103">
        <f>'Intermediate Calcs'!R166</f>
        <v>1900421.9367120469</v>
      </c>
      <c r="S17" s="103">
        <f>'Intermediate Calcs'!S166</f>
        <v>2131592.3215680723</v>
      </c>
      <c r="T17" s="103">
        <f>'Intermediate Calcs'!T166</f>
        <v>2362762.7064240472</v>
      </c>
      <c r="U17" s="103">
        <f>'Intermediate Calcs'!U166</f>
        <v>2593933.0912800734</v>
      </c>
      <c r="V17" s="103">
        <f>'Intermediate Calcs'!V166</f>
        <v>2593933.0912799998</v>
      </c>
      <c r="W17" s="103">
        <f>'Intermediate Calcs'!W166</f>
        <v>2593933.0912799998</v>
      </c>
      <c r="X17" s="103">
        <f>'Intermediate Calcs'!X166</f>
        <v>2593933.0912799998</v>
      </c>
      <c r="Y17" s="103">
        <f>'Intermediate Calcs'!Y166</f>
        <v>2593933.0912799998</v>
      </c>
      <c r="Z17" s="103">
        <f>'Intermediate Calcs'!Z166</f>
        <v>2593933.0912799998</v>
      </c>
      <c r="AA17" s="103">
        <f>'Intermediate Calcs'!AA166</f>
        <v>2593933.0912799998</v>
      </c>
      <c r="AB17" s="103">
        <f>'Intermediate Calcs'!AB166</f>
        <v>2593933.0912799998</v>
      </c>
      <c r="AC17" s="103">
        <f>'Intermediate Calcs'!AC166</f>
        <v>2593933.0912799998</v>
      </c>
      <c r="AD17" s="103">
        <f>'Intermediate Calcs'!AD166</f>
        <v>2593933.0912799998</v>
      </c>
      <c r="AE17" s="103">
        <f>'Intermediate Calcs'!AE166</f>
        <v>2593933.0912799998</v>
      </c>
      <c r="AF17" s="103">
        <f>'Intermediate Calcs'!AF166</f>
        <v>2593933.0912799998</v>
      </c>
      <c r="AG17" s="103">
        <f>'Intermediate Calcs'!AG166</f>
        <v>2593933.0912799998</v>
      </c>
      <c r="AH17" s="103">
        <f>'Intermediate Calcs'!AH166</f>
        <v>2593933.0912799998</v>
      </c>
      <c r="AI17" s="103">
        <f>'Intermediate Calcs'!AI166</f>
        <v>2593933.0912799998</v>
      </c>
      <c r="AJ17" s="103">
        <f>'Intermediate Calcs'!AJ166</f>
        <v>0</v>
      </c>
      <c r="AK17" s="103">
        <f>'Intermediate Calcs'!AK166</f>
        <v>0</v>
      </c>
      <c r="AL17" s="103">
        <f>'Intermediate Calcs'!AL166</f>
        <v>0</v>
      </c>
      <c r="AM17" s="103">
        <f>'Intermediate Calcs'!AM166</f>
        <v>0</v>
      </c>
      <c r="AN17" s="103">
        <f>'Intermediate Calcs'!AN166</f>
        <v>0</v>
      </c>
      <c r="AO17" s="103">
        <f>'Intermediate Calcs'!AO166</f>
        <v>0</v>
      </c>
      <c r="AP17" s="103">
        <f>'Intermediate Calcs'!AP166</f>
        <v>0</v>
      </c>
      <c r="AQ17" s="103">
        <f>'Intermediate Calcs'!AQ166</f>
        <v>0</v>
      </c>
      <c r="AR17" s="103">
        <f>'Intermediate Calcs'!AR166</f>
        <v>0</v>
      </c>
      <c r="AS17" s="103">
        <f>'Intermediate Calcs'!AS166</f>
        <v>0</v>
      </c>
      <c r="AT17" s="103">
        <f>'Intermediate Calcs'!AT166</f>
        <v>0</v>
      </c>
      <c r="AU17" s="103">
        <f>'Intermediate Calcs'!AU166</f>
        <v>0</v>
      </c>
      <c r="AV17" s="103">
        <f>'Intermediate Calcs'!AV166</f>
        <v>0</v>
      </c>
      <c r="AW17" s="103">
        <f>'Intermediate Calcs'!AW166</f>
        <v>0</v>
      </c>
      <c r="AX17" s="103">
        <f>'Intermediate Calcs'!AX166</f>
        <v>0</v>
      </c>
      <c r="AY17" s="103">
        <f>'Intermediate Calcs'!AY166</f>
        <v>0</v>
      </c>
      <c r="AZ17" s="103">
        <f>'Intermediate Calcs'!AZ166</f>
        <v>0</v>
      </c>
      <c r="BA17" s="103">
        <f>'Intermediate Calcs'!BA166</f>
        <v>0</v>
      </c>
      <c r="BB17" s="103">
        <f>'Intermediate Calcs'!BB166</f>
        <v>0</v>
      </c>
    </row>
    <row r="18" spans="1:54" s="14" customFormat="1" ht="15.75">
      <c r="A18" s="67"/>
      <c r="B18" s="22"/>
      <c r="C18" s="22"/>
      <c r="E18" s="14" t="s">
        <v>53</v>
      </c>
      <c r="F18" s="38"/>
      <c r="G18" s="34" t="s">
        <v>46</v>
      </c>
      <c r="H18" s="69">
        <f>SUM(I18:BB18)</f>
        <v>154588.7530403985</v>
      </c>
      <c r="I18" s="103">
        <f>'Intermediate Calcs'!I91</f>
        <v>0</v>
      </c>
      <c r="J18" s="103">
        <f>'Intermediate Calcs'!J91</f>
        <v>0</v>
      </c>
      <c r="K18" s="103">
        <f>'Intermediate Calcs'!K91</f>
        <v>0</v>
      </c>
      <c r="L18" s="103">
        <f>'Intermediate Calcs'!L91</f>
        <v>0</v>
      </c>
      <c r="M18" s="103">
        <f>'Intermediate Calcs'!M91</f>
        <v>0</v>
      </c>
      <c r="N18" s="103">
        <f>'Intermediate Calcs'!N91</f>
        <v>0</v>
      </c>
      <c r="O18" s="103">
        <f>'Intermediate Calcs'!O91</f>
        <v>0</v>
      </c>
      <c r="P18" s="103">
        <f>'Intermediate Calcs'!P91</f>
        <v>3922.6938454585625</v>
      </c>
      <c r="Q18" s="103">
        <f>'Intermediate Calcs'!Q91</f>
        <v>7061.6649924474759</v>
      </c>
      <c r="R18" s="103">
        <f>'Intermediate Calcs'!R91</f>
        <v>7091.3549968185898</v>
      </c>
      <c r="S18" s="103">
        <f>'Intermediate Calcs'!S91</f>
        <v>7143.32809612049</v>
      </c>
      <c r="T18" s="103">
        <f>'Intermediate Calcs'!T91</f>
        <v>7270.2280676531955</v>
      </c>
      <c r="U18" s="103">
        <f>'Intermediate Calcs'!U91</f>
        <v>7342.0674530551951</v>
      </c>
      <c r="V18" s="103">
        <f>'Intermediate Calcs'!V91</f>
        <v>7467.6927852393837</v>
      </c>
      <c r="W18" s="103">
        <f>'Intermediate Calcs'!W91</f>
        <v>7565.448008836187</v>
      </c>
      <c r="X18" s="103">
        <f>'Intermediate Calcs'!X91</f>
        <v>7662.5175483057183</v>
      </c>
      <c r="Y18" s="103">
        <f>'Intermediate Calcs'!Y91</f>
        <v>7758.8751956820606</v>
      </c>
      <c r="Z18" s="103">
        <f>'Intermediate Calcs'!Z91</f>
        <v>7881.600295446463</v>
      </c>
      <c r="AA18" s="103">
        <f>'Intermediate Calcs'!AA91</f>
        <v>7949.3478969636371</v>
      </c>
      <c r="AB18" s="103">
        <f>'Intermediate Calcs'!AB91</f>
        <v>8043.4084341953485</v>
      </c>
      <c r="AC18" s="103">
        <f>'Intermediate Calcs'!AC91</f>
        <v>8163.6716237880346</v>
      </c>
      <c r="AD18" s="103">
        <f>'Intermediate Calcs'!AD91</f>
        <v>8306.491604743127</v>
      </c>
      <c r="AE18" s="103">
        <f>'Intermediate Calcs'!AE91</f>
        <v>8477.5822667408611</v>
      </c>
      <c r="AF18" s="103">
        <f>'Intermediate Calcs'!AF91</f>
        <v>8622.5501127524203</v>
      </c>
      <c r="AG18" s="103">
        <f>'Intermediate Calcs'!AG91</f>
        <v>8796.0295711734088</v>
      </c>
      <c r="AH18" s="103">
        <f>'Intermediate Calcs'!AH91</f>
        <v>8943.1587378458134</v>
      </c>
      <c r="AI18" s="103">
        <f>'Intermediate Calcs'!AI91</f>
        <v>9119.0415071325351</v>
      </c>
      <c r="AJ18" s="103">
        <f>'Intermediate Calcs'!AJ91</f>
        <v>0</v>
      </c>
      <c r="AK18" s="103">
        <f>'Intermediate Calcs'!AK91</f>
        <v>0</v>
      </c>
      <c r="AL18" s="103">
        <f>'Intermediate Calcs'!AL91</f>
        <v>0</v>
      </c>
      <c r="AM18" s="103">
        <f>'Intermediate Calcs'!AM91</f>
        <v>0</v>
      </c>
      <c r="AN18" s="103">
        <f>'Intermediate Calcs'!AN91</f>
        <v>0</v>
      </c>
      <c r="AO18" s="103">
        <f>'Intermediate Calcs'!AO91</f>
        <v>0</v>
      </c>
      <c r="AP18" s="103">
        <f>'Intermediate Calcs'!AP91</f>
        <v>0</v>
      </c>
      <c r="AQ18" s="103">
        <f>'Intermediate Calcs'!AQ91</f>
        <v>0</v>
      </c>
      <c r="AR18" s="103">
        <f>'Intermediate Calcs'!AR91</f>
        <v>0</v>
      </c>
      <c r="AS18" s="103">
        <f>'Intermediate Calcs'!AS91</f>
        <v>0</v>
      </c>
      <c r="AT18" s="103">
        <f>'Intermediate Calcs'!AT91</f>
        <v>0</v>
      </c>
      <c r="AU18" s="103">
        <f>'Intermediate Calcs'!AU91</f>
        <v>0</v>
      </c>
      <c r="AV18" s="103">
        <f>'Intermediate Calcs'!AV91</f>
        <v>0</v>
      </c>
      <c r="AW18" s="103">
        <f>'Intermediate Calcs'!AW91</f>
        <v>0</v>
      </c>
      <c r="AX18" s="103">
        <f>'Intermediate Calcs'!AX91</f>
        <v>0</v>
      </c>
      <c r="AY18" s="103">
        <f>'Intermediate Calcs'!AY91</f>
        <v>0</v>
      </c>
      <c r="AZ18" s="103">
        <f>'Intermediate Calcs'!AZ91</f>
        <v>0</v>
      </c>
      <c r="BA18" s="103">
        <f>'Intermediate Calcs'!BA91</f>
        <v>0</v>
      </c>
      <c r="BB18" s="103">
        <f>'Intermediate Calcs'!BB91</f>
        <v>0</v>
      </c>
    </row>
    <row r="19" spans="1:54" s="14" customFormat="1" ht="15.75">
      <c r="A19" s="67"/>
      <c r="B19" s="22"/>
      <c r="C19" s="22"/>
      <c r="E19" s="14" t="s">
        <v>253</v>
      </c>
      <c r="F19" s="38"/>
      <c r="G19" s="34" t="s">
        <v>46</v>
      </c>
      <c r="H19" s="69">
        <f>SUM(I19:BB19)</f>
        <v>43078112.294827618</v>
      </c>
      <c r="I19" s="103">
        <f>'Intermediate Calcs'!I188</f>
        <v>0</v>
      </c>
      <c r="J19" s="103">
        <f>'Intermediate Calcs'!J188</f>
        <v>0</v>
      </c>
      <c r="K19" s="103">
        <f>'Intermediate Calcs'!K188</f>
        <v>0</v>
      </c>
      <c r="L19" s="103">
        <f>'Intermediate Calcs'!L188</f>
        <v>0</v>
      </c>
      <c r="M19" s="103">
        <f>'Intermediate Calcs'!M188</f>
        <v>0</v>
      </c>
      <c r="N19" s="103">
        <f>'Intermediate Calcs'!N188</f>
        <v>0</v>
      </c>
      <c r="O19" s="103">
        <f>'Intermediate Calcs'!O188</f>
        <v>0</v>
      </c>
      <c r="P19" s="103">
        <f>'Intermediate Calcs'!P188</f>
        <v>949414.75818749971</v>
      </c>
      <c r="Q19" s="103">
        <f>'Intermediate Calcs'!Q188</f>
        <v>1478555.2500840076</v>
      </c>
      <c r="R19" s="103">
        <f>'Intermediate Calcs'!R188</f>
        <v>1691224.1559180156</v>
      </c>
      <c r="S19" s="103">
        <f>'Intermediate Calcs'!S188</f>
        <v>1903893.0617520236</v>
      </c>
      <c r="T19" s="103">
        <f>'Intermediate Calcs'!T188</f>
        <v>2116561.9675860316</v>
      </c>
      <c r="U19" s="103">
        <f>'Intermediate Calcs'!U188</f>
        <v>2329230.8734200397</v>
      </c>
      <c r="V19" s="103">
        <f>'Intermediate Calcs'!V188</f>
        <v>2329230.8734199996</v>
      </c>
      <c r="W19" s="103">
        <f>'Intermediate Calcs'!W188</f>
        <v>2329230.8734199996</v>
      </c>
      <c r="X19" s="103">
        <f>'Intermediate Calcs'!X188</f>
        <v>2329230.8734199996</v>
      </c>
      <c r="Y19" s="103">
        <f>'Intermediate Calcs'!Y188</f>
        <v>2329230.8734199996</v>
      </c>
      <c r="Z19" s="103">
        <f>'Intermediate Calcs'!Z188</f>
        <v>2329230.8734199996</v>
      </c>
      <c r="AA19" s="103">
        <f>'Intermediate Calcs'!AA188</f>
        <v>2329230.8734199996</v>
      </c>
      <c r="AB19" s="103">
        <f>'Intermediate Calcs'!AB188</f>
        <v>2329230.8734199996</v>
      </c>
      <c r="AC19" s="103">
        <f>'Intermediate Calcs'!AC188</f>
        <v>2329230.8734199996</v>
      </c>
      <c r="AD19" s="103">
        <f>'Intermediate Calcs'!AD188</f>
        <v>2329230.8734199996</v>
      </c>
      <c r="AE19" s="103">
        <f>'Intermediate Calcs'!AE188</f>
        <v>2329230.8734199996</v>
      </c>
      <c r="AF19" s="103">
        <f>'Intermediate Calcs'!AF188</f>
        <v>2329230.8734199996</v>
      </c>
      <c r="AG19" s="103">
        <f>'Intermediate Calcs'!AG188</f>
        <v>2329230.8734199996</v>
      </c>
      <c r="AH19" s="103">
        <f>'Intermediate Calcs'!AH188</f>
        <v>2329230.8734199996</v>
      </c>
      <c r="AI19" s="103">
        <f>'Intermediate Calcs'!AI188</f>
        <v>2329230.8734199996</v>
      </c>
      <c r="AJ19" s="103">
        <f>'Intermediate Calcs'!AJ188</f>
        <v>0</v>
      </c>
      <c r="AK19" s="103">
        <f>'Intermediate Calcs'!AK188</f>
        <v>0</v>
      </c>
      <c r="AL19" s="103">
        <f>'Intermediate Calcs'!AL188</f>
        <v>0</v>
      </c>
      <c r="AM19" s="103">
        <f>'Intermediate Calcs'!AM188</f>
        <v>0</v>
      </c>
      <c r="AN19" s="103">
        <f>'Intermediate Calcs'!AN188</f>
        <v>0</v>
      </c>
      <c r="AO19" s="103">
        <f>'Intermediate Calcs'!AO188</f>
        <v>0</v>
      </c>
      <c r="AP19" s="103">
        <f>'Intermediate Calcs'!AP188</f>
        <v>0</v>
      </c>
      <c r="AQ19" s="103">
        <f>'Intermediate Calcs'!AQ188</f>
        <v>0</v>
      </c>
      <c r="AR19" s="103">
        <f>'Intermediate Calcs'!AR188</f>
        <v>0</v>
      </c>
      <c r="AS19" s="103">
        <f>'Intermediate Calcs'!AS188</f>
        <v>0</v>
      </c>
      <c r="AT19" s="103">
        <f>'Intermediate Calcs'!AT188</f>
        <v>0</v>
      </c>
      <c r="AU19" s="103">
        <f>'Intermediate Calcs'!AU188</f>
        <v>0</v>
      </c>
      <c r="AV19" s="103">
        <f>'Intermediate Calcs'!AV188</f>
        <v>0</v>
      </c>
      <c r="AW19" s="103">
        <f>'Intermediate Calcs'!AW188</f>
        <v>0</v>
      </c>
      <c r="AX19" s="103">
        <f>'Intermediate Calcs'!AX188</f>
        <v>0</v>
      </c>
      <c r="AY19" s="103">
        <f>'Intermediate Calcs'!AY188</f>
        <v>0</v>
      </c>
      <c r="AZ19" s="103">
        <f>'Intermediate Calcs'!AZ188</f>
        <v>0</v>
      </c>
      <c r="BA19" s="103">
        <f>'Intermediate Calcs'!BA188</f>
        <v>0</v>
      </c>
      <c r="BB19" s="103">
        <f>'Intermediate Calcs'!BB188</f>
        <v>0</v>
      </c>
    </row>
    <row r="20" spans="1:54" s="14" customFormat="1" ht="15.75">
      <c r="A20" s="67"/>
      <c r="B20" s="22"/>
      <c r="C20" s="22"/>
      <c r="F20" s="38"/>
      <c r="G20" s="34"/>
      <c r="H20" s="69"/>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row>
    <row r="21" spans="1:54" s="14" customFormat="1" ht="15.75">
      <c r="A21" s="67"/>
      <c r="B21" s="22"/>
      <c r="C21" s="22"/>
      <c r="E21" s="38" t="s">
        <v>29</v>
      </c>
      <c r="F21" s="38"/>
      <c r="G21" s="34" t="s">
        <v>46</v>
      </c>
      <c r="H21" s="70">
        <f>SUM(I21:BB21)</f>
        <v>109602561.40752169</v>
      </c>
      <c r="I21" s="66">
        <f t="shared" ref="I21:BB21" si="1">SUM(I11:I19)</f>
        <v>0</v>
      </c>
      <c r="J21" s="66">
        <f t="shared" si="1"/>
        <v>0</v>
      </c>
      <c r="K21" s="66">
        <f t="shared" si="1"/>
        <v>0</v>
      </c>
      <c r="L21" s="66">
        <f t="shared" si="1"/>
        <v>0</v>
      </c>
      <c r="M21" s="66">
        <f t="shared" si="1"/>
        <v>0</v>
      </c>
      <c r="N21" s="66">
        <f t="shared" si="1"/>
        <v>0</v>
      </c>
      <c r="O21" s="66">
        <f t="shared" si="1"/>
        <v>0</v>
      </c>
      <c r="P21" s="66">
        <f t="shared" si="1"/>
        <v>10884665.297821632</v>
      </c>
      <c r="Q21" s="66">
        <f t="shared" si="1"/>
        <v>3318141.6812065952</v>
      </c>
      <c r="R21" s="66">
        <f t="shared" si="1"/>
        <v>3765133.5500622792</v>
      </c>
      <c r="S21" s="66">
        <f t="shared" si="1"/>
        <v>4212156.9782037996</v>
      </c>
      <c r="T21" s="66">
        <f t="shared" si="1"/>
        <v>4659264.674341741</v>
      </c>
      <c r="U21" s="66">
        <f t="shared" si="1"/>
        <v>5106326.7164057139</v>
      </c>
      <c r="V21" s="66">
        <f t="shared" si="1"/>
        <v>5107815.0080520175</v>
      </c>
      <c r="W21" s="66">
        <f t="shared" si="1"/>
        <v>5109284.9682540465</v>
      </c>
      <c r="X21" s="66">
        <f t="shared" si="1"/>
        <v>5110763.8482067976</v>
      </c>
      <c r="Y21" s="66">
        <f t="shared" si="1"/>
        <v>5112251.6889403481</v>
      </c>
      <c r="Z21" s="66">
        <f t="shared" si="1"/>
        <v>5113775.6375078894</v>
      </c>
      <c r="AA21" s="66">
        <f t="shared" si="1"/>
        <v>5115254.417141459</v>
      </c>
      <c r="AB21" s="66">
        <f t="shared" si="1"/>
        <v>5116769.3869349668</v>
      </c>
      <c r="AC21" s="66">
        <f t="shared" si="1"/>
        <v>5118320.5057456298</v>
      </c>
      <c r="AD21" s="66">
        <f t="shared" si="1"/>
        <v>5119904.1973370025</v>
      </c>
      <c r="AE21" s="66">
        <f t="shared" si="1"/>
        <v>5121526.2457106914</v>
      </c>
      <c r="AF21" s="66">
        <f t="shared" si="1"/>
        <v>5123132.3279723749</v>
      </c>
      <c r="AG21" s="66">
        <f t="shared" si="1"/>
        <v>5124777.1496473784</v>
      </c>
      <c r="AH21" s="66">
        <f t="shared" si="1"/>
        <v>5126405.9204261489</v>
      </c>
      <c r="AI21" s="66">
        <f t="shared" si="1"/>
        <v>11136891.207603168</v>
      </c>
      <c r="AJ21" s="66">
        <f t="shared" si="1"/>
        <v>0</v>
      </c>
      <c r="AK21" s="66">
        <f t="shared" si="1"/>
        <v>0</v>
      </c>
      <c r="AL21" s="66">
        <f t="shared" si="1"/>
        <v>0</v>
      </c>
      <c r="AM21" s="66">
        <f t="shared" si="1"/>
        <v>0</v>
      </c>
      <c r="AN21" s="66">
        <f t="shared" si="1"/>
        <v>0</v>
      </c>
      <c r="AO21" s="66">
        <f t="shared" si="1"/>
        <v>0</v>
      </c>
      <c r="AP21" s="66">
        <f t="shared" si="1"/>
        <v>0</v>
      </c>
      <c r="AQ21" s="66">
        <f t="shared" si="1"/>
        <v>0</v>
      </c>
      <c r="AR21" s="66">
        <f t="shared" si="1"/>
        <v>0</v>
      </c>
      <c r="AS21" s="66">
        <f t="shared" si="1"/>
        <v>0</v>
      </c>
      <c r="AT21" s="66">
        <f t="shared" si="1"/>
        <v>0</v>
      </c>
      <c r="AU21" s="66">
        <f t="shared" si="1"/>
        <v>0</v>
      </c>
      <c r="AV21" s="66">
        <f t="shared" si="1"/>
        <v>0</v>
      </c>
      <c r="AW21" s="66">
        <f t="shared" si="1"/>
        <v>0</v>
      </c>
      <c r="AX21" s="66">
        <f t="shared" si="1"/>
        <v>0</v>
      </c>
      <c r="AY21" s="66">
        <f t="shared" si="1"/>
        <v>0</v>
      </c>
      <c r="AZ21" s="66">
        <f t="shared" si="1"/>
        <v>0</v>
      </c>
      <c r="BA21" s="66">
        <f t="shared" si="1"/>
        <v>0</v>
      </c>
      <c r="BB21" s="66">
        <f t="shared" si="1"/>
        <v>0</v>
      </c>
    </row>
    <row r="22" spans="1:54" s="14" customFormat="1" ht="15.75">
      <c r="A22" s="67"/>
      <c r="B22" s="22"/>
      <c r="C22" s="22"/>
      <c r="E22" s="38"/>
      <c r="F22" s="38"/>
      <c r="G22" s="68"/>
      <c r="H22" s="70"/>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4" s="14" customFormat="1" ht="15.75">
      <c r="A23" s="67"/>
      <c r="B23" s="22"/>
      <c r="C23" s="22" t="s">
        <v>54</v>
      </c>
      <c r="E23" s="38"/>
      <c r="F23" s="38"/>
      <c r="G23" s="68"/>
      <c r="H23" s="35"/>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row>
    <row r="24" spans="1:54" s="14" customFormat="1" ht="15.75">
      <c r="A24" s="67"/>
      <c r="B24" s="22"/>
      <c r="C24" s="22"/>
      <c r="E24" s="14" t="s">
        <v>45</v>
      </c>
      <c r="F24" s="76"/>
      <c r="G24" s="34" t="s">
        <v>46</v>
      </c>
      <c r="H24" s="69">
        <f t="shared" ref="H24:H28" si="2">SUM(I24:BB24)</f>
        <v>-501635.06437639153</v>
      </c>
      <c r="I24" s="72">
        <f t="shared" ref="I24:BB24" si="3">I11*I$4</f>
        <v>0</v>
      </c>
      <c r="J24" s="72">
        <f t="shared" si="3"/>
        <v>0</v>
      </c>
      <c r="K24" s="72">
        <f t="shared" si="3"/>
        <v>0</v>
      </c>
      <c r="L24" s="72">
        <f t="shared" si="3"/>
        <v>0</v>
      </c>
      <c r="M24" s="72">
        <f t="shared" si="3"/>
        <v>0</v>
      </c>
      <c r="N24" s="72">
        <f t="shared" si="3"/>
        <v>0</v>
      </c>
      <c r="O24" s="72">
        <f t="shared" si="3"/>
        <v>0</v>
      </c>
      <c r="P24" s="72">
        <f t="shared" si="3"/>
        <v>-25169.311647386781</v>
      </c>
      <c r="Q24" s="72">
        <f t="shared" si="3"/>
        <v>-32550.031228434247</v>
      </c>
      <c r="R24" s="72">
        <f t="shared" si="3"/>
        <v>-31571.320299160285</v>
      </c>
      <c r="S24" s="72">
        <f t="shared" si="3"/>
        <v>-30622.037147585143</v>
      </c>
      <c r="T24" s="72">
        <f t="shared" si="3"/>
        <v>-29701.296942371628</v>
      </c>
      <c r="U24" s="72">
        <f t="shared" si="3"/>
        <v>-28808.241457198477</v>
      </c>
      <c r="V24" s="72">
        <f t="shared" si="3"/>
        <v>-27942.038270803569</v>
      </c>
      <c r="W24" s="72">
        <f t="shared" si="3"/>
        <v>-27101.879991080084</v>
      </c>
      <c r="X24" s="72">
        <f t="shared" si="3"/>
        <v>-26286.98350250251</v>
      </c>
      <c r="Y24" s="72">
        <f t="shared" si="3"/>
        <v>-25496.589236180906</v>
      </c>
      <c r="Z24" s="72">
        <f t="shared" si="3"/>
        <v>-24729.960461863149</v>
      </c>
      <c r="AA24" s="72">
        <f t="shared" si="3"/>
        <v>-23986.382601225167</v>
      </c>
      <c r="AB24" s="72">
        <f t="shared" si="3"/>
        <v>-23265.162561809084</v>
      </c>
      <c r="AC24" s="72">
        <f t="shared" si="3"/>
        <v>-22565.628090988448</v>
      </c>
      <c r="AD24" s="72">
        <f t="shared" si="3"/>
        <v>-21887.127149358341</v>
      </c>
      <c r="AE24" s="72">
        <f t="shared" si="3"/>
        <v>-21229.027302966384</v>
      </c>
      <c r="AF24" s="72">
        <f t="shared" si="3"/>
        <v>-20590.715133818023</v>
      </c>
      <c r="AG24" s="72">
        <f t="shared" si="3"/>
        <v>-19971.595668106718</v>
      </c>
      <c r="AH24" s="72">
        <f t="shared" si="3"/>
        <v>-19371.091821636001</v>
      </c>
      <c r="AI24" s="72">
        <f t="shared" si="3"/>
        <v>-18788.643861916589</v>
      </c>
      <c r="AJ24" s="72">
        <f t="shared" si="3"/>
        <v>0</v>
      </c>
      <c r="AK24" s="72">
        <f t="shared" si="3"/>
        <v>0</v>
      </c>
      <c r="AL24" s="72">
        <f t="shared" si="3"/>
        <v>0</v>
      </c>
      <c r="AM24" s="72">
        <f t="shared" si="3"/>
        <v>0</v>
      </c>
      <c r="AN24" s="72">
        <f t="shared" si="3"/>
        <v>0</v>
      </c>
      <c r="AO24" s="72">
        <f t="shared" si="3"/>
        <v>0</v>
      </c>
      <c r="AP24" s="72">
        <f t="shared" si="3"/>
        <v>0</v>
      </c>
      <c r="AQ24" s="72">
        <f t="shared" si="3"/>
        <v>0</v>
      </c>
      <c r="AR24" s="72">
        <f t="shared" si="3"/>
        <v>0</v>
      </c>
      <c r="AS24" s="72">
        <f t="shared" si="3"/>
        <v>0</v>
      </c>
      <c r="AT24" s="72">
        <f t="shared" si="3"/>
        <v>0</v>
      </c>
      <c r="AU24" s="72">
        <f t="shared" si="3"/>
        <v>0</v>
      </c>
      <c r="AV24" s="72">
        <f t="shared" si="3"/>
        <v>0</v>
      </c>
      <c r="AW24" s="72">
        <f t="shared" si="3"/>
        <v>0</v>
      </c>
      <c r="AX24" s="72">
        <f t="shared" si="3"/>
        <v>0</v>
      </c>
      <c r="AY24" s="72">
        <f t="shared" si="3"/>
        <v>0</v>
      </c>
      <c r="AZ24" s="72">
        <f t="shared" si="3"/>
        <v>0</v>
      </c>
      <c r="BA24" s="72">
        <f t="shared" si="3"/>
        <v>0</v>
      </c>
      <c r="BB24" s="72">
        <f t="shared" si="3"/>
        <v>0</v>
      </c>
    </row>
    <row r="25" spans="1:54" s="14" customFormat="1" ht="15.75">
      <c r="A25" s="67"/>
      <c r="B25" s="22"/>
      <c r="C25" s="22"/>
      <c r="E25" s="14" t="s">
        <v>47</v>
      </c>
      <c r="F25" s="38"/>
      <c r="G25" s="34" t="s">
        <v>46</v>
      </c>
      <c r="H25" s="69">
        <f t="shared" ref="H25:H26" si="4">SUM(I25:BB25)</f>
        <v>2887892.6083230437</v>
      </c>
      <c r="I25" s="72">
        <f t="shared" ref="I25:BB25" si="5">I12*I$4</f>
        <v>0</v>
      </c>
      <c r="J25" s="72">
        <f t="shared" si="5"/>
        <v>0</v>
      </c>
      <c r="K25" s="72">
        <f t="shared" si="5"/>
        <v>0</v>
      </c>
      <c r="L25" s="72">
        <f t="shared" si="5"/>
        <v>0</v>
      </c>
      <c r="M25" s="72">
        <f t="shared" si="5"/>
        <v>0</v>
      </c>
      <c r="N25" s="72">
        <f t="shared" si="5"/>
        <v>0</v>
      </c>
      <c r="O25" s="72">
        <f t="shared" si="5"/>
        <v>0</v>
      </c>
      <c r="P25" s="72">
        <f t="shared" si="5"/>
        <v>0</v>
      </c>
      <c r="Q25" s="72">
        <f t="shared" si="5"/>
        <v>0</v>
      </c>
      <c r="R25" s="72">
        <f t="shared" si="5"/>
        <v>0</v>
      </c>
      <c r="S25" s="72">
        <f t="shared" si="5"/>
        <v>0</v>
      </c>
      <c r="T25" s="72">
        <f t="shared" si="5"/>
        <v>0</v>
      </c>
      <c r="U25" s="72">
        <f t="shared" si="5"/>
        <v>0</v>
      </c>
      <c r="V25" s="72">
        <f t="shared" si="5"/>
        <v>0</v>
      </c>
      <c r="W25" s="72">
        <f t="shared" si="5"/>
        <v>0</v>
      </c>
      <c r="X25" s="72">
        <f t="shared" si="5"/>
        <v>0</v>
      </c>
      <c r="Y25" s="72">
        <f t="shared" si="5"/>
        <v>0</v>
      </c>
      <c r="Z25" s="72">
        <f t="shared" si="5"/>
        <v>0</v>
      </c>
      <c r="AA25" s="72">
        <f t="shared" si="5"/>
        <v>0</v>
      </c>
      <c r="AB25" s="72">
        <f t="shared" si="5"/>
        <v>0</v>
      </c>
      <c r="AC25" s="72">
        <f t="shared" si="5"/>
        <v>0</v>
      </c>
      <c r="AD25" s="72">
        <f t="shared" si="5"/>
        <v>0</v>
      </c>
      <c r="AE25" s="72">
        <f t="shared" si="5"/>
        <v>0</v>
      </c>
      <c r="AF25" s="72">
        <f t="shared" si="5"/>
        <v>0</v>
      </c>
      <c r="AG25" s="72">
        <f t="shared" si="5"/>
        <v>0</v>
      </c>
      <c r="AH25" s="72">
        <f t="shared" si="5"/>
        <v>0</v>
      </c>
      <c r="AI25" s="72">
        <f t="shared" si="5"/>
        <v>2887892.6083230437</v>
      </c>
      <c r="AJ25" s="72">
        <f t="shared" si="5"/>
        <v>0</v>
      </c>
      <c r="AK25" s="72">
        <f t="shared" si="5"/>
        <v>0</v>
      </c>
      <c r="AL25" s="72">
        <f t="shared" si="5"/>
        <v>0</v>
      </c>
      <c r="AM25" s="72">
        <f t="shared" si="5"/>
        <v>0</v>
      </c>
      <c r="AN25" s="72">
        <f t="shared" si="5"/>
        <v>0</v>
      </c>
      <c r="AO25" s="72">
        <f t="shared" si="5"/>
        <v>0</v>
      </c>
      <c r="AP25" s="72">
        <f t="shared" si="5"/>
        <v>0</v>
      </c>
      <c r="AQ25" s="72">
        <f t="shared" si="5"/>
        <v>0</v>
      </c>
      <c r="AR25" s="72">
        <f t="shared" si="5"/>
        <v>0</v>
      </c>
      <c r="AS25" s="72">
        <f t="shared" si="5"/>
        <v>0</v>
      </c>
      <c r="AT25" s="72">
        <f t="shared" si="5"/>
        <v>0</v>
      </c>
      <c r="AU25" s="72">
        <f t="shared" si="5"/>
        <v>0</v>
      </c>
      <c r="AV25" s="72">
        <f t="shared" si="5"/>
        <v>0</v>
      </c>
      <c r="AW25" s="72">
        <f t="shared" si="5"/>
        <v>0</v>
      </c>
      <c r="AX25" s="72">
        <f t="shared" si="5"/>
        <v>0</v>
      </c>
      <c r="AY25" s="72">
        <f t="shared" si="5"/>
        <v>0</v>
      </c>
      <c r="AZ25" s="72">
        <f t="shared" si="5"/>
        <v>0</v>
      </c>
      <c r="BA25" s="72">
        <f t="shared" si="5"/>
        <v>0</v>
      </c>
      <c r="BB25" s="72">
        <f t="shared" si="5"/>
        <v>0</v>
      </c>
    </row>
    <row r="26" spans="1:54" s="14" customFormat="1" ht="15.75">
      <c r="A26" s="67"/>
      <c r="B26" s="22"/>
      <c r="C26" s="22"/>
      <c r="E26" s="14" t="s">
        <v>417</v>
      </c>
      <c r="F26" s="38"/>
      <c r="G26" s="34" t="s">
        <v>46</v>
      </c>
      <c r="H26" s="69">
        <f t="shared" si="4"/>
        <v>7496397.2792967455</v>
      </c>
      <c r="I26" s="72">
        <f t="shared" ref="I26:BB26" si="6">I13*I$4</f>
        <v>0</v>
      </c>
      <c r="J26" s="72">
        <f t="shared" si="6"/>
        <v>0</v>
      </c>
      <c r="K26" s="72">
        <f t="shared" si="6"/>
        <v>0</v>
      </c>
      <c r="L26" s="72">
        <f t="shared" si="6"/>
        <v>0</v>
      </c>
      <c r="M26" s="72">
        <f t="shared" si="6"/>
        <v>0</v>
      </c>
      <c r="N26" s="72">
        <f t="shared" si="6"/>
        <v>0</v>
      </c>
      <c r="O26" s="72">
        <f t="shared" si="6"/>
        <v>0</v>
      </c>
      <c r="P26" s="72">
        <f t="shared" si="6"/>
        <v>7496397.2792967455</v>
      </c>
      <c r="Q26" s="72">
        <f t="shared" si="6"/>
        <v>0</v>
      </c>
      <c r="R26" s="72">
        <f t="shared" si="6"/>
        <v>0</v>
      </c>
      <c r="S26" s="72">
        <f t="shared" si="6"/>
        <v>0</v>
      </c>
      <c r="T26" s="72">
        <f t="shared" si="6"/>
        <v>0</v>
      </c>
      <c r="U26" s="72">
        <f t="shared" si="6"/>
        <v>0</v>
      </c>
      <c r="V26" s="72">
        <f t="shared" si="6"/>
        <v>0</v>
      </c>
      <c r="W26" s="72">
        <f t="shared" si="6"/>
        <v>0</v>
      </c>
      <c r="X26" s="72">
        <f t="shared" si="6"/>
        <v>0</v>
      </c>
      <c r="Y26" s="72">
        <f t="shared" si="6"/>
        <v>0</v>
      </c>
      <c r="Z26" s="72">
        <f t="shared" si="6"/>
        <v>0</v>
      </c>
      <c r="AA26" s="72">
        <f t="shared" si="6"/>
        <v>0</v>
      </c>
      <c r="AB26" s="72">
        <f t="shared" si="6"/>
        <v>0</v>
      </c>
      <c r="AC26" s="72">
        <f t="shared" si="6"/>
        <v>0</v>
      </c>
      <c r="AD26" s="72">
        <f t="shared" si="6"/>
        <v>0</v>
      </c>
      <c r="AE26" s="72">
        <f t="shared" si="6"/>
        <v>0</v>
      </c>
      <c r="AF26" s="72">
        <f t="shared" si="6"/>
        <v>0</v>
      </c>
      <c r="AG26" s="72">
        <f t="shared" si="6"/>
        <v>0</v>
      </c>
      <c r="AH26" s="72">
        <f t="shared" si="6"/>
        <v>0</v>
      </c>
      <c r="AI26" s="72">
        <f t="shared" si="6"/>
        <v>0</v>
      </c>
      <c r="AJ26" s="72">
        <f t="shared" si="6"/>
        <v>0</v>
      </c>
      <c r="AK26" s="72">
        <f t="shared" si="6"/>
        <v>0</v>
      </c>
      <c r="AL26" s="72">
        <f t="shared" si="6"/>
        <v>0</v>
      </c>
      <c r="AM26" s="72">
        <f t="shared" si="6"/>
        <v>0</v>
      </c>
      <c r="AN26" s="72">
        <f t="shared" si="6"/>
        <v>0</v>
      </c>
      <c r="AO26" s="72">
        <f t="shared" si="6"/>
        <v>0</v>
      </c>
      <c r="AP26" s="72">
        <f t="shared" si="6"/>
        <v>0</v>
      </c>
      <c r="AQ26" s="72">
        <f t="shared" si="6"/>
        <v>0</v>
      </c>
      <c r="AR26" s="72">
        <f t="shared" si="6"/>
        <v>0</v>
      </c>
      <c r="AS26" s="72">
        <f t="shared" si="6"/>
        <v>0</v>
      </c>
      <c r="AT26" s="72">
        <f t="shared" si="6"/>
        <v>0</v>
      </c>
      <c r="AU26" s="72">
        <f t="shared" si="6"/>
        <v>0</v>
      </c>
      <c r="AV26" s="72">
        <f t="shared" si="6"/>
        <v>0</v>
      </c>
      <c r="AW26" s="72">
        <f t="shared" si="6"/>
        <v>0</v>
      </c>
      <c r="AX26" s="72">
        <f t="shared" si="6"/>
        <v>0</v>
      </c>
      <c r="AY26" s="72">
        <f t="shared" si="6"/>
        <v>0</v>
      </c>
      <c r="AZ26" s="72">
        <f t="shared" si="6"/>
        <v>0</v>
      </c>
      <c r="BA26" s="72">
        <f t="shared" si="6"/>
        <v>0</v>
      </c>
      <c r="BB26" s="72">
        <f t="shared" si="6"/>
        <v>0</v>
      </c>
    </row>
    <row r="27" spans="1:54" s="14" customFormat="1" ht="15.75">
      <c r="A27" s="67"/>
      <c r="B27" s="22"/>
      <c r="C27" s="22"/>
      <c r="E27" s="14" t="s">
        <v>49</v>
      </c>
      <c r="F27" s="76"/>
      <c r="G27" s="34" t="s">
        <v>46</v>
      </c>
      <c r="H27" s="69">
        <f t="shared" si="2"/>
        <v>239497.61398606878</v>
      </c>
      <c r="I27" s="72">
        <f t="shared" ref="I27:BB27" si="7">I14*I$4</f>
        <v>0</v>
      </c>
      <c r="J27" s="72">
        <f t="shared" si="7"/>
        <v>0</v>
      </c>
      <c r="K27" s="72">
        <f t="shared" si="7"/>
        <v>0</v>
      </c>
      <c r="L27" s="72">
        <f t="shared" si="7"/>
        <v>0</v>
      </c>
      <c r="M27" s="72">
        <f t="shared" si="7"/>
        <v>0</v>
      </c>
      <c r="N27" s="72">
        <f t="shared" si="7"/>
        <v>0</v>
      </c>
      <c r="O27" s="72">
        <f t="shared" si="7"/>
        <v>0</v>
      </c>
      <c r="P27" s="72">
        <f t="shared" si="7"/>
        <v>7248.7462297582215</v>
      </c>
      <c r="Q27" s="72">
        <f t="shared" si="7"/>
        <v>10871.208935573824</v>
      </c>
      <c r="R27" s="72">
        <f t="shared" si="7"/>
        <v>11996.14835553012</v>
      </c>
      <c r="S27" s="72">
        <f t="shared" si="7"/>
        <v>13043.610229847829</v>
      </c>
      <c r="T27" s="72">
        <f t="shared" si="7"/>
        <v>14017.236698633105</v>
      </c>
      <c r="U27" s="72">
        <f t="shared" si="7"/>
        <v>14920.520924788389</v>
      </c>
      <c r="V27" s="72">
        <f t="shared" si="7"/>
        <v>14471.892264585786</v>
      </c>
      <c r="W27" s="72">
        <f t="shared" si="7"/>
        <v>14036.752923943537</v>
      </c>
      <c r="X27" s="72">
        <f t="shared" si="7"/>
        <v>13614.697307413711</v>
      </c>
      <c r="Y27" s="72">
        <f t="shared" si="7"/>
        <v>13205.332014950256</v>
      </c>
      <c r="Z27" s="72">
        <f t="shared" si="7"/>
        <v>12808.275475218485</v>
      </c>
      <c r="AA27" s="72">
        <f t="shared" si="7"/>
        <v>12423.157589930634</v>
      </c>
      <c r="AB27" s="72">
        <f t="shared" si="7"/>
        <v>12049.619388875493</v>
      </c>
      <c r="AC27" s="72">
        <f t="shared" si="7"/>
        <v>11687.312695320557</v>
      </c>
      <c r="AD27" s="72">
        <f t="shared" si="7"/>
        <v>11335.899801474838</v>
      </c>
      <c r="AE27" s="72">
        <f t="shared" si="7"/>
        <v>10995.053153709834</v>
      </c>
      <c r="AF27" s="72">
        <f t="shared" si="7"/>
        <v>10664.455047245232</v>
      </c>
      <c r="AG27" s="72">
        <f t="shared" si="7"/>
        <v>10343.797330014775</v>
      </c>
      <c r="AH27" s="72">
        <f t="shared" si="7"/>
        <v>10032.781115436252</v>
      </c>
      <c r="AI27" s="72">
        <f t="shared" si="7"/>
        <v>9731.1165038178988</v>
      </c>
      <c r="AJ27" s="72">
        <f t="shared" si="7"/>
        <v>0</v>
      </c>
      <c r="AK27" s="72">
        <f t="shared" si="7"/>
        <v>0</v>
      </c>
      <c r="AL27" s="72">
        <f t="shared" si="7"/>
        <v>0</v>
      </c>
      <c r="AM27" s="72">
        <f t="shared" si="7"/>
        <v>0</v>
      </c>
      <c r="AN27" s="72">
        <f t="shared" si="7"/>
        <v>0</v>
      </c>
      <c r="AO27" s="72">
        <f t="shared" si="7"/>
        <v>0</v>
      </c>
      <c r="AP27" s="72">
        <f t="shared" si="7"/>
        <v>0</v>
      </c>
      <c r="AQ27" s="72">
        <f t="shared" si="7"/>
        <v>0</v>
      </c>
      <c r="AR27" s="72">
        <f t="shared" si="7"/>
        <v>0</v>
      </c>
      <c r="AS27" s="72">
        <f t="shared" si="7"/>
        <v>0</v>
      </c>
      <c r="AT27" s="72">
        <f t="shared" si="7"/>
        <v>0</v>
      </c>
      <c r="AU27" s="72">
        <f t="shared" si="7"/>
        <v>0</v>
      </c>
      <c r="AV27" s="72">
        <f t="shared" si="7"/>
        <v>0</v>
      </c>
      <c r="AW27" s="72">
        <f t="shared" si="7"/>
        <v>0</v>
      </c>
      <c r="AX27" s="72">
        <f t="shared" si="7"/>
        <v>0</v>
      </c>
      <c r="AY27" s="72">
        <f t="shared" si="7"/>
        <v>0</v>
      </c>
      <c r="AZ27" s="72">
        <f t="shared" si="7"/>
        <v>0</v>
      </c>
      <c r="BA27" s="72">
        <f t="shared" si="7"/>
        <v>0</v>
      </c>
      <c r="BB27" s="72">
        <f t="shared" si="7"/>
        <v>0</v>
      </c>
    </row>
    <row r="28" spans="1:54" s="14" customFormat="1" ht="15.75">
      <c r="A28" s="67"/>
      <c r="B28" s="22"/>
      <c r="C28" s="22"/>
      <c r="E28" s="14" t="s">
        <v>130</v>
      </c>
      <c r="F28" s="76"/>
      <c r="G28" s="34" t="s">
        <v>46</v>
      </c>
      <c r="H28" s="69">
        <f t="shared" si="2"/>
        <v>260035.87713335571</v>
      </c>
      <c r="I28" s="72">
        <f t="shared" ref="I28:BB28" si="8">I15*I$4</f>
        <v>0</v>
      </c>
      <c r="J28" s="72">
        <f t="shared" si="8"/>
        <v>0</v>
      </c>
      <c r="K28" s="72">
        <f t="shared" si="8"/>
        <v>0</v>
      </c>
      <c r="L28" s="72">
        <f t="shared" si="8"/>
        <v>0</v>
      </c>
      <c r="M28" s="72">
        <f t="shared" si="8"/>
        <v>0</v>
      </c>
      <c r="N28" s="72">
        <f t="shared" si="8"/>
        <v>0</v>
      </c>
      <c r="O28" s="72">
        <f t="shared" si="8"/>
        <v>0</v>
      </c>
      <c r="P28" s="72">
        <f t="shared" si="8"/>
        <v>12275.07685420242</v>
      </c>
      <c r="Q28" s="72">
        <f t="shared" si="8"/>
        <v>15985.777422802248</v>
      </c>
      <c r="R28" s="72">
        <f t="shared" si="8"/>
        <v>15613.654572998896</v>
      </c>
      <c r="S28" s="72">
        <f t="shared" si="8"/>
        <v>15250.194136770015</v>
      </c>
      <c r="T28" s="72">
        <f t="shared" si="8"/>
        <v>14895.19446724288</v>
      </c>
      <c r="U28" s="72">
        <f t="shared" si="8"/>
        <v>14548.458611555361</v>
      </c>
      <c r="V28" s="72">
        <f t="shared" si="8"/>
        <v>14209.794201587049</v>
      </c>
      <c r="W28" s="72">
        <f t="shared" si="8"/>
        <v>13879.013347233906</v>
      </c>
      <c r="X28" s="72">
        <f t="shared" si="8"/>
        <v>13555.932532167355</v>
      </c>
      <c r="Y28" s="72">
        <f t="shared" si="8"/>
        <v>13240.372512019911</v>
      </c>
      <c r="Z28" s="72">
        <f t="shared" si="8"/>
        <v>12932.15821494088</v>
      </c>
      <c r="AA28" s="72">
        <f t="shared" si="8"/>
        <v>12631.118644466986</v>
      </c>
      <c r="AB28" s="72">
        <f t="shared" si="8"/>
        <v>12337.08678465398</v>
      </c>
      <c r="AC28" s="72">
        <f t="shared" si="8"/>
        <v>12049.899507416645</v>
      </c>
      <c r="AD28" s="72">
        <f t="shared" si="8"/>
        <v>11769.397482025761</v>
      </c>
      <c r="AE28" s="72">
        <f t="shared" si="8"/>
        <v>11495.425086711872</v>
      </c>
      <c r="AF28" s="72">
        <f t="shared" si="8"/>
        <v>11227.830322326727</v>
      </c>
      <c r="AG28" s="72">
        <f t="shared" si="8"/>
        <v>10966.464728014564</v>
      </c>
      <c r="AH28" s="72">
        <f t="shared" si="8"/>
        <v>10711.183298846423</v>
      </c>
      <c r="AI28" s="72">
        <f t="shared" si="8"/>
        <v>10461.844405371821</v>
      </c>
      <c r="AJ28" s="72">
        <f t="shared" si="8"/>
        <v>0</v>
      </c>
      <c r="AK28" s="72">
        <f t="shared" si="8"/>
        <v>0</v>
      </c>
      <c r="AL28" s="72">
        <f t="shared" si="8"/>
        <v>0</v>
      </c>
      <c r="AM28" s="72">
        <f t="shared" si="8"/>
        <v>0</v>
      </c>
      <c r="AN28" s="72">
        <f t="shared" si="8"/>
        <v>0</v>
      </c>
      <c r="AO28" s="72">
        <f t="shared" si="8"/>
        <v>0</v>
      </c>
      <c r="AP28" s="72">
        <f t="shared" si="8"/>
        <v>0</v>
      </c>
      <c r="AQ28" s="72">
        <f t="shared" si="8"/>
        <v>0</v>
      </c>
      <c r="AR28" s="72">
        <f t="shared" si="8"/>
        <v>0</v>
      </c>
      <c r="AS28" s="72">
        <f t="shared" si="8"/>
        <v>0</v>
      </c>
      <c r="AT28" s="72">
        <f t="shared" si="8"/>
        <v>0</v>
      </c>
      <c r="AU28" s="72">
        <f t="shared" si="8"/>
        <v>0</v>
      </c>
      <c r="AV28" s="72">
        <f t="shared" si="8"/>
        <v>0</v>
      </c>
      <c r="AW28" s="72">
        <f t="shared" si="8"/>
        <v>0</v>
      </c>
      <c r="AX28" s="72">
        <f t="shared" si="8"/>
        <v>0</v>
      </c>
      <c r="AY28" s="72">
        <f t="shared" si="8"/>
        <v>0</v>
      </c>
      <c r="AZ28" s="72">
        <f t="shared" si="8"/>
        <v>0</v>
      </c>
      <c r="BA28" s="72">
        <f t="shared" si="8"/>
        <v>0</v>
      </c>
      <c r="BB28" s="72">
        <f t="shared" si="8"/>
        <v>0</v>
      </c>
    </row>
    <row r="29" spans="1:54" s="14" customFormat="1" ht="15.75">
      <c r="A29" s="67"/>
      <c r="B29" s="22"/>
      <c r="C29" s="22"/>
      <c r="E29" s="14" t="s">
        <v>51</v>
      </c>
      <c r="F29" s="76"/>
      <c r="G29" s="34" t="s">
        <v>46</v>
      </c>
      <c r="H29" s="69">
        <f>SUM(I29:BB29)</f>
        <v>2303982.3964330778</v>
      </c>
      <c r="I29" s="72">
        <f t="shared" ref="I29:BB29" si="9">I16*I$4</f>
        <v>0</v>
      </c>
      <c r="J29" s="72">
        <f t="shared" si="9"/>
        <v>0</v>
      </c>
      <c r="K29" s="72">
        <f t="shared" si="9"/>
        <v>0</v>
      </c>
      <c r="L29" s="72">
        <f t="shared" si="9"/>
        <v>0</v>
      </c>
      <c r="M29" s="72">
        <f t="shared" si="9"/>
        <v>0</v>
      </c>
      <c r="N29" s="72">
        <f t="shared" si="9"/>
        <v>0</v>
      </c>
      <c r="O29" s="72">
        <f t="shared" si="9"/>
        <v>0</v>
      </c>
      <c r="P29" s="72">
        <f t="shared" si="9"/>
        <v>108760.22685301116</v>
      </c>
      <c r="Q29" s="72">
        <f t="shared" si="9"/>
        <v>141637.95466017746</v>
      </c>
      <c r="R29" s="72">
        <f t="shared" si="9"/>
        <v>138340.85387274364</v>
      </c>
      <c r="S29" s="72">
        <f t="shared" si="9"/>
        <v>135120.50421906193</v>
      </c>
      <c r="T29" s="72">
        <f t="shared" si="9"/>
        <v>131975.11905780347</v>
      </c>
      <c r="U29" s="72">
        <f t="shared" si="9"/>
        <v>128902.9533377382</v>
      </c>
      <c r="V29" s="72">
        <f t="shared" si="9"/>
        <v>125902.30262958523</v>
      </c>
      <c r="W29" s="72">
        <f t="shared" si="9"/>
        <v>122971.50218039988</v>
      </c>
      <c r="X29" s="72">
        <f t="shared" si="9"/>
        <v>120108.9259899735</v>
      </c>
      <c r="Y29" s="72">
        <f t="shared" si="9"/>
        <v>117312.9859087326</v>
      </c>
      <c r="Z29" s="72">
        <f t="shared" si="9"/>
        <v>114582.13075663797</v>
      </c>
      <c r="AA29" s="72">
        <f t="shared" si="9"/>
        <v>111914.84546259395</v>
      </c>
      <c r="AB29" s="72">
        <f t="shared" si="9"/>
        <v>109309.65022389148</v>
      </c>
      <c r="AC29" s="72">
        <f t="shared" si="9"/>
        <v>106765.09968521702</v>
      </c>
      <c r="AD29" s="72">
        <f t="shared" si="9"/>
        <v>104279.78213677353</v>
      </c>
      <c r="AE29" s="72">
        <f t="shared" si="9"/>
        <v>101852.31873106783</v>
      </c>
      <c r="AF29" s="72">
        <f t="shared" si="9"/>
        <v>99481.362717929485</v>
      </c>
      <c r="AG29" s="72">
        <f t="shared" si="9"/>
        <v>97165.598697337555</v>
      </c>
      <c r="AH29" s="72">
        <f t="shared" si="9"/>
        <v>94903.741889640063</v>
      </c>
      <c r="AI29" s="72">
        <f t="shared" si="9"/>
        <v>92694.537422761903</v>
      </c>
      <c r="AJ29" s="72">
        <f t="shared" si="9"/>
        <v>0</v>
      </c>
      <c r="AK29" s="72">
        <f t="shared" si="9"/>
        <v>0</v>
      </c>
      <c r="AL29" s="72">
        <f t="shared" si="9"/>
        <v>0</v>
      </c>
      <c r="AM29" s="72">
        <f t="shared" si="9"/>
        <v>0</v>
      </c>
      <c r="AN29" s="72">
        <f t="shared" si="9"/>
        <v>0</v>
      </c>
      <c r="AO29" s="72">
        <f t="shared" si="9"/>
        <v>0</v>
      </c>
      <c r="AP29" s="72">
        <f t="shared" si="9"/>
        <v>0</v>
      </c>
      <c r="AQ29" s="72">
        <f t="shared" si="9"/>
        <v>0</v>
      </c>
      <c r="AR29" s="72">
        <f t="shared" si="9"/>
        <v>0</v>
      </c>
      <c r="AS29" s="72">
        <f t="shared" si="9"/>
        <v>0</v>
      </c>
      <c r="AT29" s="72">
        <f t="shared" si="9"/>
        <v>0</v>
      </c>
      <c r="AU29" s="72">
        <f t="shared" si="9"/>
        <v>0</v>
      </c>
      <c r="AV29" s="72">
        <f t="shared" si="9"/>
        <v>0</v>
      </c>
      <c r="AW29" s="72">
        <f t="shared" si="9"/>
        <v>0</v>
      </c>
      <c r="AX29" s="72">
        <f t="shared" si="9"/>
        <v>0</v>
      </c>
      <c r="AY29" s="72">
        <f t="shared" si="9"/>
        <v>0</v>
      </c>
      <c r="AZ29" s="72">
        <f t="shared" si="9"/>
        <v>0</v>
      </c>
      <c r="BA29" s="72">
        <f t="shared" si="9"/>
        <v>0</v>
      </c>
      <c r="BB29" s="72">
        <f t="shared" si="9"/>
        <v>0</v>
      </c>
    </row>
    <row r="30" spans="1:54" s="14" customFormat="1" ht="15.75">
      <c r="A30" s="67"/>
      <c r="B30" s="22"/>
      <c r="C30" s="22"/>
      <c r="E30" s="14" t="s">
        <v>128</v>
      </c>
      <c r="F30" s="76"/>
      <c r="G30" s="34" t="s">
        <v>46</v>
      </c>
      <c r="H30" s="69">
        <f>SUM(I30:BB30)</f>
        <v>30672659.820618987</v>
      </c>
      <c r="I30" s="72">
        <f t="shared" ref="I30:BB30" si="10">I17*I$4</f>
        <v>0</v>
      </c>
      <c r="J30" s="72">
        <f t="shared" si="10"/>
        <v>0</v>
      </c>
      <c r="K30" s="72">
        <f t="shared" si="10"/>
        <v>0</v>
      </c>
      <c r="L30" s="72">
        <f t="shared" si="10"/>
        <v>0</v>
      </c>
      <c r="M30" s="72">
        <f t="shared" si="10"/>
        <v>0</v>
      </c>
      <c r="N30" s="72">
        <f t="shared" si="10"/>
        <v>0</v>
      </c>
      <c r="O30" s="72">
        <f t="shared" si="10"/>
        <v>0</v>
      </c>
      <c r="P30" s="72">
        <f t="shared" si="10"/>
        <v>925872.82150750619</v>
      </c>
      <c r="Q30" s="72">
        <f t="shared" si="10"/>
        <v>1389855.9702089187</v>
      </c>
      <c r="R30" s="72">
        <f t="shared" si="10"/>
        <v>1534756.1342584461</v>
      </c>
      <c r="S30" s="72">
        <f t="shared" si="10"/>
        <v>1669686.07374306</v>
      </c>
      <c r="T30" s="72">
        <f t="shared" si="10"/>
        <v>1795114.3549007941</v>
      </c>
      <c r="U30" s="72">
        <f t="shared" si="10"/>
        <v>1911490.3802325933</v>
      </c>
      <c r="V30" s="72">
        <f t="shared" si="10"/>
        <v>1854015.8877134232</v>
      </c>
      <c r="W30" s="72">
        <f t="shared" si="10"/>
        <v>1798269.5322147654</v>
      </c>
      <c r="X30" s="72">
        <f t="shared" si="10"/>
        <v>1744199.352293662</v>
      </c>
      <c r="Y30" s="72">
        <f t="shared" si="10"/>
        <v>1691754.9488784308</v>
      </c>
      <c r="Z30" s="72">
        <f t="shared" si="10"/>
        <v>1640887.4382913976</v>
      </c>
      <c r="AA30" s="72">
        <f t="shared" si="10"/>
        <v>1591549.4066841877</v>
      </c>
      <c r="AB30" s="72">
        <f t="shared" si="10"/>
        <v>1543694.865843053</v>
      </c>
      <c r="AC30" s="72">
        <f t="shared" si="10"/>
        <v>1497279.210323039</v>
      </c>
      <c r="AD30" s="72">
        <f t="shared" si="10"/>
        <v>1452259.1758710369</v>
      </c>
      <c r="AE30" s="72">
        <f t="shared" si="10"/>
        <v>1408592.7990989692</v>
      </c>
      <c r="AF30" s="72">
        <f t="shared" si="10"/>
        <v>1366239.3783695141</v>
      </c>
      <c r="AG30" s="72">
        <f t="shared" si="10"/>
        <v>1325159.4358579188</v>
      </c>
      <c r="AH30" s="72">
        <f t="shared" si="10"/>
        <v>1285314.6807545284</v>
      </c>
      <c r="AI30" s="72">
        <f t="shared" si="10"/>
        <v>1246667.9735737427</v>
      </c>
      <c r="AJ30" s="72">
        <f t="shared" si="10"/>
        <v>0</v>
      </c>
      <c r="AK30" s="72">
        <f t="shared" si="10"/>
        <v>0</v>
      </c>
      <c r="AL30" s="72">
        <f t="shared" si="10"/>
        <v>0</v>
      </c>
      <c r="AM30" s="72">
        <f t="shared" si="10"/>
        <v>0</v>
      </c>
      <c r="AN30" s="72">
        <f t="shared" si="10"/>
        <v>0</v>
      </c>
      <c r="AO30" s="72">
        <f t="shared" si="10"/>
        <v>0</v>
      </c>
      <c r="AP30" s="72">
        <f t="shared" si="10"/>
        <v>0</v>
      </c>
      <c r="AQ30" s="72">
        <f t="shared" si="10"/>
        <v>0</v>
      </c>
      <c r="AR30" s="72">
        <f t="shared" si="10"/>
        <v>0</v>
      </c>
      <c r="AS30" s="72">
        <f t="shared" si="10"/>
        <v>0</v>
      </c>
      <c r="AT30" s="72">
        <f t="shared" si="10"/>
        <v>0</v>
      </c>
      <c r="AU30" s="72">
        <f t="shared" si="10"/>
        <v>0</v>
      </c>
      <c r="AV30" s="72">
        <f t="shared" si="10"/>
        <v>0</v>
      </c>
      <c r="AW30" s="72">
        <f t="shared" si="10"/>
        <v>0</v>
      </c>
      <c r="AX30" s="72">
        <f t="shared" si="10"/>
        <v>0</v>
      </c>
      <c r="AY30" s="72">
        <f t="shared" si="10"/>
        <v>0</v>
      </c>
      <c r="AZ30" s="72">
        <f t="shared" si="10"/>
        <v>0</v>
      </c>
      <c r="BA30" s="72">
        <f t="shared" si="10"/>
        <v>0</v>
      </c>
      <c r="BB30" s="72">
        <f t="shared" si="10"/>
        <v>0</v>
      </c>
    </row>
    <row r="31" spans="1:54" s="14" customFormat="1" ht="15.75">
      <c r="A31" s="67"/>
      <c r="B31" s="22"/>
      <c r="C31" s="22"/>
      <c r="E31" s="14" t="s">
        <v>53</v>
      </c>
      <c r="F31" s="76"/>
      <c r="G31" s="34" t="s">
        <v>46</v>
      </c>
      <c r="H31" s="69">
        <f>SUM(I31:BB31)</f>
        <v>114998.27840022212</v>
      </c>
      <c r="I31" s="103">
        <f>'Intermediate Calcs'!I98</f>
        <v>0</v>
      </c>
      <c r="J31" s="103">
        <f>'Intermediate Calcs'!J98</f>
        <v>0</v>
      </c>
      <c r="K31" s="103">
        <f>'Intermediate Calcs'!K98</f>
        <v>0</v>
      </c>
      <c r="L31" s="103">
        <f>'Intermediate Calcs'!L98</f>
        <v>0</v>
      </c>
      <c r="M31" s="103">
        <f>'Intermediate Calcs'!M98</f>
        <v>0</v>
      </c>
      <c r="N31" s="103">
        <f>'Intermediate Calcs'!N98</f>
        <v>0</v>
      </c>
      <c r="O31" s="103">
        <f>'Intermediate Calcs'!O98</f>
        <v>0</v>
      </c>
      <c r="P31" s="103">
        <f>'Intermediate Calcs'!P98</f>
        <v>3548.0915134364132</v>
      </c>
      <c r="Q31" s="103">
        <f>'Intermediate Calcs'!Q98</f>
        <v>6261.1598378628978</v>
      </c>
      <c r="R31" s="103">
        <f>'Intermediate Calcs'!R98</f>
        <v>6163.5248057742001</v>
      </c>
      <c r="S31" s="103">
        <f>'Intermediate Calcs'!S98</f>
        <v>6086.7653686675567</v>
      </c>
      <c r="T31" s="103">
        <f>'Intermediate Calcs'!T98</f>
        <v>6072.8572127272355</v>
      </c>
      <c r="U31" s="103">
        <f>'Intermediate Calcs'!U98</f>
        <v>6012.0919545053548</v>
      </c>
      <c r="V31" s="103">
        <f>'Intermediate Calcs'!V98</f>
        <v>5994.7378167702682</v>
      </c>
      <c r="W31" s="103">
        <f>'Intermediate Calcs'!W98</f>
        <v>5953.8807885112474</v>
      </c>
      <c r="X31" s="103">
        <f>'Intermediate Calcs'!X98</f>
        <v>5911.8930487263424</v>
      </c>
      <c r="Y31" s="103">
        <f>'Intermediate Calcs'!Y98</f>
        <v>5868.8236957506388</v>
      </c>
      <c r="Z31" s="103">
        <f>'Intermediate Calcs'!Z98</f>
        <v>5844.8607634912123</v>
      </c>
      <c r="AA31" s="103">
        <f>'Intermediate Calcs'!AA98</f>
        <v>5779.6305752340813</v>
      </c>
      <c r="AB31" s="103">
        <f>'Intermediate Calcs'!AB98</f>
        <v>5733.5991049469221</v>
      </c>
      <c r="AC31" s="103">
        <f>'Intermediate Calcs'!AC98</f>
        <v>5705.5914796869138</v>
      </c>
      <c r="AD31" s="103">
        <f>'Intermediate Calcs'!AD98</f>
        <v>5691.319843522323</v>
      </c>
      <c r="AE31" s="103">
        <f>'Intermediate Calcs'!AE98</f>
        <v>5694.4530860227605</v>
      </c>
      <c r="AF31" s="103">
        <f>'Intermediate Calcs'!AF98</f>
        <v>5678.053390009447</v>
      </c>
      <c r="AG31" s="103">
        <f>'Intermediate Calcs'!AG98</f>
        <v>5678.562978531073</v>
      </c>
      <c r="AH31" s="103">
        <f>'Intermediate Calcs'!AH98</f>
        <v>5660.1722377603874</v>
      </c>
      <c r="AI31" s="103">
        <f>'Intermediate Calcs'!AI98</f>
        <v>5658.2088982848481</v>
      </c>
      <c r="AJ31" s="103">
        <f>'Intermediate Calcs'!AJ98</f>
        <v>0</v>
      </c>
      <c r="AK31" s="103">
        <f>'Intermediate Calcs'!AK98</f>
        <v>0</v>
      </c>
      <c r="AL31" s="103">
        <f>'Intermediate Calcs'!AL98</f>
        <v>0</v>
      </c>
      <c r="AM31" s="103">
        <f>'Intermediate Calcs'!AM98</f>
        <v>0</v>
      </c>
      <c r="AN31" s="103">
        <f>'Intermediate Calcs'!AN98</f>
        <v>0</v>
      </c>
      <c r="AO31" s="103">
        <f>'Intermediate Calcs'!AO98</f>
        <v>0</v>
      </c>
      <c r="AP31" s="103">
        <f>'Intermediate Calcs'!AP98</f>
        <v>0</v>
      </c>
      <c r="AQ31" s="103">
        <f>'Intermediate Calcs'!AQ98</f>
        <v>0</v>
      </c>
      <c r="AR31" s="103">
        <f>'Intermediate Calcs'!AR98</f>
        <v>0</v>
      </c>
      <c r="AS31" s="103">
        <f>'Intermediate Calcs'!AS98</f>
        <v>0</v>
      </c>
      <c r="AT31" s="103">
        <f>'Intermediate Calcs'!AT98</f>
        <v>0</v>
      </c>
      <c r="AU31" s="103">
        <f>'Intermediate Calcs'!AU98</f>
        <v>0</v>
      </c>
      <c r="AV31" s="103">
        <f>'Intermediate Calcs'!AV98</f>
        <v>0</v>
      </c>
      <c r="AW31" s="103">
        <f>'Intermediate Calcs'!AW98</f>
        <v>0</v>
      </c>
      <c r="AX31" s="103">
        <f>'Intermediate Calcs'!AX98</f>
        <v>0</v>
      </c>
      <c r="AY31" s="103">
        <f>'Intermediate Calcs'!AY98</f>
        <v>0</v>
      </c>
      <c r="AZ31" s="103">
        <f>'Intermediate Calcs'!AZ98</f>
        <v>0</v>
      </c>
      <c r="BA31" s="103">
        <f>'Intermediate Calcs'!BA98</f>
        <v>0</v>
      </c>
      <c r="BB31" s="103">
        <f>'Intermediate Calcs'!BB98</f>
        <v>0</v>
      </c>
    </row>
    <row r="32" spans="1:54" s="14" customFormat="1" ht="15.75">
      <c r="A32" s="67"/>
      <c r="B32" s="22"/>
      <c r="C32" s="22"/>
      <c r="E32" s="14" t="s">
        <v>253</v>
      </c>
      <c r="F32" s="76"/>
      <c r="G32" s="34" t="s">
        <v>46</v>
      </c>
      <c r="H32" s="69">
        <f>SUM(I32:BB32)</f>
        <v>27485121.475283768</v>
      </c>
      <c r="I32" s="72">
        <f>'Intermediate Calcs'!I189</f>
        <v>0</v>
      </c>
      <c r="J32" s="72">
        <f>'Intermediate Calcs'!J189</f>
        <v>0</v>
      </c>
      <c r="K32" s="72">
        <f>'Intermediate Calcs'!K189</f>
        <v>0</v>
      </c>
      <c r="L32" s="72">
        <f>'Intermediate Calcs'!L189</f>
        <v>0</v>
      </c>
      <c r="M32" s="72">
        <f>'Intermediate Calcs'!M189</f>
        <v>0</v>
      </c>
      <c r="N32" s="72">
        <f>'Intermediate Calcs'!N189</f>
        <v>0</v>
      </c>
      <c r="O32" s="72">
        <f>'Intermediate Calcs'!O189</f>
        <v>0</v>
      </c>
      <c r="P32" s="72">
        <f>'Intermediate Calcs'!P189</f>
        <v>815009.4641066473</v>
      </c>
      <c r="Q32" s="72">
        <f>'Intermediate Calcs'!Q189</f>
        <v>1231077.9878132159</v>
      </c>
      <c r="R32" s="72">
        <f>'Intermediate Calcs'!R189</f>
        <v>1365810.7168516265</v>
      </c>
      <c r="S32" s="72">
        <f>'Intermediate Calcs'!S189</f>
        <v>1491328.1957991289</v>
      </c>
      <c r="T32" s="72">
        <f>'Intermediate Calcs'!T189</f>
        <v>1608062.7820646074</v>
      </c>
      <c r="U32" s="72">
        <f>'Intermediate Calcs'!U189</f>
        <v>1716429.1642102501</v>
      </c>
      <c r="V32" s="72">
        <f>'Intermediate Calcs'!V189</f>
        <v>1664819.7519012811</v>
      </c>
      <c r="W32" s="72">
        <f>'Intermediate Calcs'!W189</f>
        <v>1614762.1259954229</v>
      </c>
      <c r="X32" s="72">
        <f>'Intermediate Calcs'!X189</f>
        <v>1566209.6275416324</v>
      </c>
      <c r="Y32" s="72">
        <f>'Intermediate Calcs'!Y189</f>
        <v>1519117.000525347</v>
      </c>
      <c r="Z32" s="72">
        <f>'Intermediate Calcs'!Z189</f>
        <v>1473440.3496851088</v>
      </c>
      <c r="AA32" s="72">
        <f>'Intermediate Calcs'!AA189</f>
        <v>1429137.0995975835</v>
      </c>
      <c r="AB32" s="72">
        <f>'Intermediate Calcs'!AB189</f>
        <v>1386165.9549928063</v>
      </c>
      <c r="AC32" s="72">
        <f>'Intermediate Calcs'!AC189</f>
        <v>1344486.8622626641</v>
      </c>
      <c r="AD32" s="72">
        <f>'Intermediate Calcs'!AD189</f>
        <v>1304060.9721267354</v>
      </c>
      <c r="AE32" s="72">
        <f>'Intermediate Calcs'!AE189</f>
        <v>1264850.6034206939</v>
      </c>
      <c r="AF32" s="72">
        <f>'Intermediate Calcs'!AF189</f>
        <v>1226819.2079735149</v>
      </c>
      <c r="AG32" s="72">
        <f>'Intermediate Calcs'!AG189</f>
        <v>1189931.3365407519</v>
      </c>
      <c r="AH32" s="72">
        <f>'Intermediate Calcs'!AH189</f>
        <v>1154152.6057621259</v>
      </c>
      <c r="AI32" s="72">
        <f>'Intermediate Calcs'!AI189</f>
        <v>1119449.6661126344</v>
      </c>
      <c r="AJ32" s="72">
        <f>'Intermediate Calcs'!AJ189</f>
        <v>0</v>
      </c>
      <c r="AK32" s="72">
        <f>'Intermediate Calcs'!AK189</f>
        <v>0</v>
      </c>
      <c r="AL32" s="72">
        <f>'Intermediate Calcs'!AL189</f>
        <v>0</v>
      </c>
      <c r="AM32" s="72">
        <f>'Intermediate Calcs'!AM189</f>
        <v>0</v>
      </c>
      <c r="AN32" s="72">
        <f>'Intermediate Calcs'!AN189</f>
        <v>0</v>
      </c>
      <c r="AO32" s="72">
        <f>'Intermediate Calcs'!AO189</f>
        <v>0</v>
      </c>
      <c r="AP32" s="72">
        <f>'Intermediate Calcs'!AP189</f>
        <v>0</v>
      </c>
      <c r="AQ32" s="72">
        <f>'Intermediate Calcs'!AQ189</f>
        <v>0</v>
      </c>
      <c r="AR32" s="72">
        <f>'Intermediate Calcs'!AR189</f>
        <v>0</v>
      </c>
      <c r="AS32" s="72">
        <f>'Intermediate Calcs'!AS189</f>
        <v>0</v>
      </c>
      <c r="AT32" s="72">
        <f>'Intermediate Calcs'!AT189</f>
        <v>0</v>
      </c>
      <c r="AU32" s="72">
        <f>'Intermediate Calcs'!AU189</f>
        <v>0</v>
      </c>
      <c r="AV32" s="72">
        <f>'Intermediate Calcs'!AV189</f>
        <v>0</v>
      </c>
      <c r="AW32" s="72">
        <f>'Intermediate Calcs'!AW189</f>
        <v>0</v>
      </c>
      <c r="AX32" s="72">
        <f>'Intermediate Calcs'!AX189</f>
        <v>0</v>
      </c>
      <c r="AY32" s="72">
        <f>'Intermediate Calcs'!AY189</f>
        <v>0</v>
      </c>
      <c r="AZ32" s="72">
        <f>'Intermediate Calcs'!AZ189</f>
        <v>0</v>
      </c>
      <c r="BA32" s="72">
        <f>'Intermediate Calcs'!BA189</f>
        <v>0</v>
      </c>
      <c r="BB32" s="72">
        <f>'Intermediate Calcs'!BB189</f>
        <v>0</v>
      </c>
    </row>
    <row r="33" spans="1:54" s="14" customFormat="1" ht="15.75">
      <c r="A33" s="67"/>
      <c r="B33" s="22"/>
      <c r="C33" s="22"/>
      <c r="F33" s="76"/>
      <c r="G33" s="34"/>
      <c r="H33" s="69"/>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row>
    <row r="34" spans="1:54" s="14" customFormat="1" ht="15.75">
      <c r="A34" s="67"/>
      <c r="B34" s="22"/>
      <c r="C34" s="22"/>
      <c r="E34" s="38" t="s">
        <v>29</v>
      </c>
      <c r="F34" s="38"/>
      <c r="G34" s="34" t="s">
        <v>46</v>
      </c>
      <c r="H34" s="225">
        <f>SUM(I34:BB34)</f>
        <v>70958950.285098895</v>
      </c>
      <c r="I34" s="66">
        <f t="shared" ref="I34:BB34" si="11">SUM(I24:I32)</f>
        <v>0</v>
      </c>
      <c r="J34" s="66">
        <f t="shared" si="11"/>
        <v>0</v>
      </c>
      <c r="K34" s="66">
        <f t="shared" si="11"/>
        <v>0</v>
      </c>
      <c r="L34" s="66">
        <f t="shared" si="11"/>
        <v>0</v>
      </c>
      <c r="M34" s="66">
        <f t="shared" si="11"/>
        <v>0</v>
      </c>
      <c r="N34" s="66">
        <f t="shared" si="11"/>
        <v>0</v>
      </c>
      <c r="O34" s="66">
        <f t="shared" si="11"/>
        <v>0</v>
      </c>
      <c r="P34" s="66">
        <f t="shared" si="11"/>
        <v>9343942.3947139196</v>
      </c>
      <c r="Q34" s="66">
        <f t="shared" si="11"/>
        <v>2763140.0276501169</v>
      </c>
      <c r="R34" s="66">
        <f t="shared" si="11"/>
        <v>3041109.7124179592</v>
      </c>
      <c r="S34" s="66">
        <f t="shared" si="11"/>
        <v>3299893.3063489511</v>
      </c>
      <c r="T34" s="66">
        <f t="shared" si="11"/>
        <v>3540436.2474594368</v>
      </c>
      <c r="U34" s="66">
        <f t="shared" si="11"/>
        <v>3763495.3278142321</v>
      </c>
      <c r="V34" s="66">
        <f t="shared" si="11"/>
        <v>3651472.3282564292</v>
      </c>
      <c r="W34" s="66">
        <f t="shared" si="11"/>
        <v>3542770.9274591971</v>
      </c>
      <c r="X34" s="66">
        <f t="shared" si="11"/>
        <v>3437313.4452110725</v>
      </c>
      <c r="Y34" s="66">
        <f t="shared" si="11"/>
        <v>3335002.8742990503</v>
      </c>
      <c r="Z34" s="66">
        <f t="shared" si="11"/>
        <v>3235765.2527249316</v>
      </c>
      <c r="AA34" s="66">
        <f t="shared" si="11"/>
        <v>3139448.8759527719</v>
      </c>
      <c r="AB34" s="66">
        <f t="shared" si="11"/>
        <v>3046025.6137764184</v>
      </c>
      <c r="AC34" s="66">
        <f t="shared" si="11"/>
        <v>2955408.3478623559</v>
      </c>
      <c r="AD34" s="66">
        <f t="shared" si="11"/>
        <v>2867509.4201122103</v>
      </c>
      <c r="AE34" s="66">
        <f t="shared" si="11"/>
        <v>2782251.6252742093</v>
      </c>
      <c r="AF34" s="66">
        <f t="shared" si="11"/>
        <v>2699519.572686722</v>
      </c>
      <c r="AG34" s="66">
        <f t="shared" si="11"/>
        <v>2619273.6004644618</v>
      </c>
      <c r="AH34" s="66">
        <f t="shared" si="11"/>
        <v>2541404.0732367015</v>
      </c>
      <c r="AI34" s="66">
        <f t="shared" si="11"/>
        <v>5353767.3113777405</v>
      </c>
      <c r="AJ34" s="66">
        <f t="shared" si="11"/>
        <v>0</v>
      </c>
      <c r="AK34" s="66">
        <f t="shared" si="11"/>
        <v>0</v>
      </c>
      <c r="AL34" s="66">
        <f t="shared" si="11"/>
        <v>0</v>
      </c>
      <c r="AM34" s="66">
        <f t="shared" si="11"/>
        <v>0</v>
      </c>
      <c r="AN34" s="66">
        <f t="shared" si="11"/>
        <v>0</v>
      </c>
      <c r="AO34" s="66">
        <f t="shared" si="11"/>
        <v>0</v>
      </c>
      <c r="AP34" s="66">
        <f t="shared" si="11"/>
        <v>0</v>
      </c>
      <c r="AQ34" s="66">
        <f t="shared" si="11"/>
        <v>0</v>
      </c>
      <c r="AR34" s="66">
        <f t="shared" si="11"/>
        <v>0</v>
      </c>
      <c r="AS34" s="66">
        <f t="shared" si="11"/>
        <v>0</v>
      </c>
      <c r="AT34" s="66">
        <f t="shared" si="11"/>
        <v>0</v>
      </c>
      <c r="AU34" s="66">
        <f t="shared" si="11"/>
        <v>0</v>
      </c>
      <c r="AV34" s="66">
        <f t="shared" si="11"/>
        <v>0</v>
      </c>
      <c r="AW34" s="66">
        <f t="shared" si="11"/>
        <v>0</v>
      </c>
      <c r="AX34" s="66">
        <f t="shared" si="11"/>
        <v>0</v>
      </c>
      <c r="AY34" s="66">
        <f t="shared" si="11"/>
        <v>0</v>
      </c>
      <c r="AZ34" s="66">
        <f t="shared" si="11"/>
        <v>0</v>
      </c>
      <c r="BA34" s="66">
        <f t="shared" si="11"/>
        <v>0</v>
      </c>
      <c r="BB34" s="66">
        <f t="shared" si="11"/>
        <v>0</v>
      </c>
    </row>
    <row r="35" spans="1:54">
      <c r="A35" s="20" t="s">
        <v>55</v>
      </c>
      <c r="B35" s="13"/>
      <c r="D35" s="24"/>
      <c r="F35" s="24"/>
      <c r="G35" s="19"/>
      <c r="H35" s="25"/>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6"/>
      <c r="AL35" s="16"/>
      <c r="AM35" s="16"/>
      <c r="AN35" s="16"/>
      <c r="AO35" s="16"/>
      <c r="AP35" s="16"/>
      <c r="AQ35" s="16"/>
      <c r="AR35" s="16"/>
      <c r="AS35" s="16"/>
      <c r="AT35" s="16"/>
      <c r="AU35" s="16"/>
      <c r="AV35" s="16"/>
      <c r="AW35" s="16"/>
      <c r="AX35" s="16"/>
      <c r="AY35" s="16"/>
      <c r="AZ35" s="16"/>
      <c r="BA35" s="16"/>
      <c r="BB35" s="16"/>
    </row>
    <row r="36" spans="1:54">
      <c r="A36" s="20"/>
      <c r="B36" s="13"/>
      <c r="F36" s="24"/>
      <c r="G36" s="19"/>
      <c r="H36" s="25"/>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6"/>
      <c r="AL36" s="16"/>
      <c r="AM36" s="16"/>
      <c r="AN36" s="16"/>
      <c r="AO36" s="16"/>
      <c r="AP36" s="16"/>
      <c r="AQ36" s="16"/>
      <c r="AR36" s="16"/>
      <c r="AS36" s="16"/>
      <c r="AT36" s="16"/>
      <c r="AU36" s="16"/>
      <c r="AV36" s="16"/>
      <c r="AW36" s="16"/>
      <c r="AX36" s="16"/>
      <c r="AY36" s="16"/>
      <c r="AZ36" s="16"/>
      <c r="BA36" s="16"/>
      <c r="BB36" s="16"/>
    </row>
    <row r="37" spans="1:54">
      <c r="A37" s="20"/>
      <c r="B37" s="13"/>
      <c r="C37" s="13" t="s">
        <v>56</v>
      </c>
      <c r="F37" s="24"/>
      <c r="G37" s="19"/>
      <c r="H37" s="25"/>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6"/>
      <c r="AL37" s="16"/>
      <c r="AM37" s="16"/>
      <c r="AN37" s="16"/>
      <c r="AO37" s="16"/>
      <c r="AP37" s="16"/>
      <c r="AQ37" s="16"/>
      <c r="AR37" s="16"/>
      <c r="AS37" s="16"/>
      <c r="AT37" s="16"/>
      <c r="AU37" s="16"/>
      <c r="AV37" s="16"/>
      <c r="AW37" s="16"/>
      <c r="AX37" s="16"/>
      <c r="AY37" s="16"/>
      <c r="AZ37" s="16"/>
      <c r="BA37" s="16"/>
      <c r="BB37" s="16"/>
    </row>
    <row r="38" spans="1:54" s="12" customFormat="1">
      <c r="A38" s="32"/>
      <c r="C38" s="20"/>
      <c r="D38" s="37"/>
      <c r="E38" s="12" t="s">
        <v>57</v>
      </c>
      <c r="F38" s="38"/>
      <c r="G38" s="34" t="s">
        <v>46</v>
      </c>
      <c r="H38" s="70">
        <f>SUM(I38:AZ38)</f>
        <v>48972907.979723193</v>
      </c>
      <c r="I38" s="66">
        <f>_xlfn.IFNA(INDEX('Capital Costs'!$G$11:$Q$11,1,MATCH('BCA Summary'!I2,'Capital Costs'!$G$5:$Q$5,0)),0)</f>
        <v>6008817.3913043486</v>
      </c>
      <c r="J38" s="66">
        <f>_xlfn.IFNA(INDEX('Capital Costs'!$G$11:$Q$11,1,MATCH('BCA Summary'!J2,'Capital Costs'!$G$5:$Q$5,0)),0)</f>
        <v>0</v>
      </c>
      <c r="K38" s="66">
        <f>_xlfn.IFNA(INDEX('Capital Costs'!$G$11:$Q$11,1,MATCH('BCA Summary'!K2,'Capital Costs'!$G$5:$Q$5,0)),0)</f>
        <v>2008465.1304347827</v>
      </c>
      <c r="L38" s="66">
        <f>_xlfn.IFNA(INDEX('Capital Costs'!$G$11:$Q$11,1,MATCH('BCA Summary'!L2,'Capital Costs'!$G$5:$Q$5,0)),0)</f>
        <v>0</v>
      </c>
      <c r="M38" s="66">
        <f>_xlfn.IFNA(INDEX('Capital Costs'!$G$11:$Q$11,1,MATCH('BCA Summary'!M2,'Capital Costs'!$G$5:$Q$5,0)),0)</f>
        <v>740058.73976504081</v>
      </c>
      <c r="N38" s="66">
        <f>_xlfn.IFNA(INDEX('Capital Costs'!$G$11:$Q$11,1,MATCH('BCA Summary'!N2,'Capital Costs'!$G$5:$Q$5,0)),0)</f>
        <v>15742861.556855654</v>
      </c>
      <c r="O38" s="66">
        <f>_xlfn.IFNA(INDEX('Capital Costs'!$G$11:$Q$11,1,MATCH('BCA Summary'!O2,'Capital Costs'!$G$5:$Q$5,0)),0)</f>
        <v>19802341.58095051</v>
      </c>
      <c r="P38" s="66">
        <f>_xlfn.IFNA(INDEX('Capital Costs'!$G$11:$Q$11,1,MATCH('BCA Summary'!P2,'Capital Costs'!$G$5:$Q$5,0)),0)</f>
        <v>4670363.5804128554</v>
      </c>
      <c r="Q38" s="66">
        <f>_xlfn.IFNA(INDEX('Capital Costs'!$G$11:$Q$11,1,MATCH('BCA Summary'!Q2,'Capital Costs'!$G$5:$Q$5,0)),0)</f>
        <v>0</v>
      </c>
      <c r="R38" s="66">
        <f>_xlfn.IFNA(INDEX('Capital Costs'!$G$11:$Q$11,1,MATCH('BCA Summary'!R2,'Capital Costs'!$G$5:$Q$5,0)),0)</f>
        <v>0</v>
      </c>
      <c r="S38" s="66">
        <f>_xlfn.IFNA(INDEX('Capital Costs'!$G$11:$Q$11,1,MATCH('BCA Summary'!S2,'Capital Costs'!$G$5:$Q$5,0)),0)</f>
        <v>0</v>
      </c>
      <c r="T38" s="66">
        <f>_xlfn.IFNA(INDEX('Capital Costs'!$G$11:$Q$11,1,MATCH('BCA Summary'!T2,'Capital Costs'!$G$5:$Q$5,0)),0)</f>
        <v>0</v>
      </c>
      <c r="U38" s="66">
        <f>_xlfn.IFNA(INDEX('Capital Costs'!$G$11:$Q$11,1,MATCH('BCA Summary'!U2,'Capital Costs'!$G$5:$Q$5,0)),0)</f>
        <v>0</v>
      </c>
      <c r="V38" s="66">
        <f>_xlfn.IFNA(INDEX('Capital Costs'!$G$11:$Q$11,1,MATCH('BCA Summary'!V2,'Capital Costs'!$G$5:$Q$5,0)),0)</f>
        <v>0</v>
      </c>
      <c r="W38" s="66">
        <f>_xlfn.IFNA(INDEX('Capital Costs'!$G$11:$Q$11,1,MATCH('BCA Summary'!W2,'Capital Costs'!$G$5:$Q$5,0)),0)</f>
        <v>0</v>
      </c>
      <c r="X38" s="66">
        <f>_xlfn.IFNA(INDEX('Capital Costs'!$G$11:$Q$11,1,MATCH('BCA Summary'!X2,'Capital Costs'!$G$5:$Q$5,0)),0)</f>
        <v>0</v>
      </c>
      <c r="Y38" s="66">
        <f>_xlfn.IFNA(INDEX('Capital Costs'!$G$11:$Q$11,1,MATCH('BCA Summary'!Y2,'Capital Costs'!$G$5:$Q$5,0)),0)</f>
        <v>0</v>
      </c>
      <c r="Z38" s="66">
        <f>_xlfn.IFNA(INDEX('Capital Costs'!$G$11:$Q$11,1,MATCH('BCA Summary'!Z2,'Capital Costs'!$G$5:$Q$5,0)),0)</f>
        <v>0</v>
      </c>
      <c r="AA38" s="66">
        <f>_xlfn.IFNA(INDEX('Capital Costs'!$G$11:$Q$11,1,MATCH('BCA Summary'!AA2,'Capital Costs'!$G$5:$Q$5,0)),0)</f>
        <v>0</v>
      </c>
      <c r="AB38" s="66">
        <f>_xlfn.IFNA(INDEX('Capital Costs'!$G$11:$Q$11,1,MATCH('BCA Summary'!AB2,'Capital Costs'!$G$5:$Q$5,0)),0)</f>
        <v>0</v>
      </c>
      <c r="AC38" s="66">
        <f>_xlfn.IFNA(INDEX('Capital Costs'!$G$11:$Q$11,1,MATCH('BCA Summary'!AC2,'Capital Costs'!$G$5:$Q$5,0)),0)</f>
        <v>0</v>
      </c>
      <c r="AD38" s="66">
        <f>_xlfn.IFNA(INDEX('Capital Costs'!$G$11:$Q$11,1,MATCH('BCA Summary'!AD2,'Capital Costs'!$G$5:$Q$5,0)),0)</f>
        <v>0</v>
      </c>
      <c r="AE38" s="66">
        <f>_xlfn.IFNA(INDEX('Capital Costs'!$G$11:$Q$11,1,MATCH('BCA Summary'!AE2,'Capital Costs'!$G$5:$Q$5,0)),0)</f>
        <v>0</v>
      </c>
      <c r="AF38" s="66">
        <f>_xlfn.IFNA(INDEX('Capital Costs'!$G$11:$Q$11,1,MATCH('BCA Summary'!AF2,'Capital Costs'!$G$5:$Q$5,0)),0)</f>
        <v>0</v>
      </c>
      <c r="AG38" s="66">
        <f>_xlfn.IFNA(INDEX('Capital Costs'!$G$11:$Q$11,1,MATCH('BCA Summary'!AG2,'Capital Costs'!$G$5:$Q$5,0)),0)</f>
        <v>0</v>
      </c>
      <c r="AH38" s="66">
        <f>_xlfn.IFNA(INDEX('Capital Costs'!$G$11:$Q$11,1,MATCH('BCA Summary'!AH2,'Capital Costs'!$G$5:$Q$5,0)),0)</f>
        <v>0</v>
      </c>
      <c r="AI38" s="66">
        <f>_xlfn.IFNA(INDEX('Capital Costs'!$G$11:$Q$11,1,MATCH('BCA Summary'!AI2,'Capital Costs'!$G$5:$Q$5,0)),0)</f>
        <v>0</v>
      </c>
      <c r="AJ38" s="66">
        <f>_xlfn.IFNA(INDEX('Capital Costs'!$G$11:$Q$11,1,MATCH('BCA Summary'!AJ2,'Capital Costs'!$G$5:$Q$5,0)),0)</f>
        <v>0</v>
      </c>
      <c r="AK38" s="66">
        <f>_xlfn.IFNA(INDEX('Capital Costs'!$G$11:$Q$11,1,MATCH('BCA Summary'!AK2,'Capital Costs'!$G$5:$Q$5,0)),0)</f>
        <v>0</v>
      </c>
      <c r="AL38" s="66">
        <f>_xlfn.IFNA(INDEX('Capital Costs'!$G$11:$Q$11,1,MATCH('BCA Summary'!AL2,'Capital Costs'!$G$5:$Q$5,0)),0)</f>
        <v>0</v>
      </c>
      <c r="AM38" s="66">
        <f>_xlfn.IFNA(INDEX('Capital Costs'!$G$11:$Q$11,1,MATCH('BCA Summary'!AM2,'Capital Costs'!$G$5:$Q$5,0)),0)</f>
        <v>0</v>
      </c>
      <c r="AN38" s="66">
        <f>_xlfn.IFNA(INDEX('Capital Costs'!$G$11:$Q$11,1,MATCH('BCA Summary'!AN2,'Capital Costs'!$G$5:$Q$5,0)),0)</f>
        <v>0</v>
      </c>
      <c r="AO38" s="66">
        <f>_xlfn.IFNA(INDEX('Capital Costs'!$G$11:$Q$11,1,MATCH('BCA Summary'!AO2,'Capital Costs'!$G$5:$Q$5,0)),0)</f>
        <v>0</v>
      </c>
      <c r="AP38" s="66">
        <f>_xlfn.IFNA(INDEX('Capital Costs'!$G$11:$Q$11,1,MATCH('BCA Summary'!AP2,'Capital Costs'!$G$5:$Q$5,0)),0)</f>
        <v>0</v>
      </c>
      <c r="AQ38" s="66">
        <f>_xlfn.IFNA(INDEX('Capital Costs'!$G$11:$Q$11,1,MATCH('BCA Summary'!AQ2,'Capital Costs'!$G$5:$Q$5,0)),0)</f>
        <v>0</v>
      </c>
      <c r="AR38" s="66">
        <f>_xlfn.IFNA(INDEX('Capital Costs'!$G$11:$Q$11,1,MATCH('BCA Summary'!AR2,'Capital Costs'!$G$5:$Q$5,0)),0)</f>
        <v>0</v>
      </c>
      <c r="AS38" s="66">
        <f>_xlfn.IFNA(INDEX('Capital Costs'!$G$11:$Q$11,1,MATCH('BCA Summary'!AS2,'Capital Costs'!$G$5:$Q$5,0)),0)</f>
        <v>0</v>
      </c>
      <c r="AT38" s="66">
        <f>_xlfn.IFNA(INDEX('Capital Costs'!$G$11:$Q$11,1,MATCH('BCA Summary'!AT2,'Capital Costs'!$G$5:$Q$5,0)),0)</f>
        <v>0</v>
      </c>
      <c r="AU38" s="66">
        <f>_xlfn.IFNA(INDEX('Capital Costs'!$G$11:$Q$11,1,MATCH('BCA Summary'!AU2,'Capital Costs'!$G$5:$Q$5,0)),0)</f>
        <v>0</v>
      </c>
      <c r="AV38" s="66">
        <f>_xlfn.IFNA(INDEX('Capital Costs'!$G$11:$Q$11,1,MATCH('BCA Summary'!AV2,'Capital Costs'!$G$5:$Q$5,0)),0)</f>
        <v>0</v>
      </c>
      <c r="AW38" s="66">
        <f>_xlfn.IFNA(INDEX('Capital Costs'!$G$11:$Q$11,1,MATCH('BCA Summary'!AW2,'Capital Costs'!$G$5:$Q$5,0)),0)</f>
        <v>0</v>
      </c>
      <c r="AX38" s="66">
        <f>_xlfn.IFNA(INDEX('Capital Costs'!$G$11:$Q$11,1,MATCH('BCA Summary'!AX2,'Capital Costs'!$G$5:$Q$5,0)),0)</f>
        <v>0</v>
      </c>
      <c r="AY38" s="66">
        <f>_xlfn.IFNA(INDEX('Capital Costs'!$G$11:$Q$11,1,MATCH('BCA Summary'!AY2,'Capital Costs'!$G$5:$Q$5,0)),0)</f>
        <v>0</v>
      </c>
      <c r="AZ38" s="66">
        <f>_xlfn.IFNA(INDEX('Capital Costs'!$G$11:$Q$11,1,MATCH('BCA Summary'!AZ2,'Capital Costs'!$G$5:$Q$5,0)),0)</f>
        <v>0</v>
      </c>
      <c r="BA38" s="66">
        <f>_xlfn.IFNA(INDEX('Capital Costs'!$G$11:$Q$11,1,MATCH('BCA Summary'!BA2,'Capital Costs'!$G$5:$Q$5,0)),0)</f>
        <v>0</v>
      </c>
      <c r="BB38" s="66">
        <f>_xlfn.IFNA(INDEX('Capital Costs'!$G$11:$Q$11,1,MATCH('BCA Summary'!BB2,'Capital Costs'!$G$5:$Q$5,0)),0)</f>
        <v>0</v>
      </c>
    </row>
    <row r="39" spans="1:54">
      <c r="A39" s="32"/>
      <c r="C39" s="13"/>
      <c r="D39" s="24"/>
      <c r="E39" s="15"/>
      <c r="F39" s="24"/>
      <c r="G39" s="31"/>
      <c r="H39" s="25"/>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row>
    <row r="40" spans="1:54">
      <c r="C40" s="13" t="s">
        <v>58</v>
      </c>
    </row>
    <row r="41" spans="1:54">
      <c r="E41" s="12" t="s">
        <v>57</v>
      </c>
      <c r="F41" s="38"/>
      <c r="G41" s="34" t="s">
        <v>46</v>
      </c>
      <c r="H41" s="70">
        <f>SUM(I41:AZ41)</f>
        <v>44613733.666987531</v>
      </c>
      <c r="I41" s="66">
        <f>I38*I$4</f>
        <v>6008817.3913043486</v>
      </c>
      <c r="J41" s="66">
        <f t="shared" ref="J41:AZ41" si="12">J38*J$4</f>
        <v>0</v>
      </c>
      <c r="K41" s="66">
        <f t="shared" si="12"/>
        <v>2008465.1304347827</v>
      </c>
      <c r="L41" s="66">
        <f>L38*L$4</f>
        <v>0</v>
      </c>
      <c r="M41" s="66">
        <f t="shared" si="12"/>
        <v>696223.79350234009</v>
      </c>
      <c r="N41" s="66">
        <f t="shared" si="12"/>
        <v>14365067.810268544</v>
      </c>
      <c r="O41" s="66">
        <f t="shared" si="12"/>
        <v>17525962.837897558</v>
      </c>
      <c r="P41" s="66">
        <f t="shared" si="12"/>
        <v>4009196.7035799548</v>
      </c>
      <c r="Q41" s="66">
        <f t="shared" si="12"/>
        <v>0</v>
      </c>
      <c r="R41" s="66">
        <f t="shared" si="12"/>
        <v>0</v>
      </c>
      <c r="S41" s="66">
        <f t="shared" si="12"/>
        <v>0</v>
      </c>
      <c r="T41" s="66">
        <f t="shared" si="12"/>
        <v>0</v>
      </c>
      <c r="U41" s="66">
        <f t="shared" si="12"/>
        <v>0</v>
      </c>
      <c r="V41" s="66">
        <f t="shared" si="12"/>
        <v>0</v>
      </c>
      <c r="W41" s="66">
        <f t="shared" si="12"/>
        <v>0</v>
      </c>
      <c r="X41" s="66">
        <f t="shared" si="12"/>
        <v>0</v>
      </c>
      <c r="Y41" s="66">
        <f t="shared" si="12"/>
        <v>0</v>
      </c>
      <c r="Z41" s="66">
        <f t="shared" si="12"/>
        <v>0</v>
      </c>
      <c r="AA41" s="66">
        <f t="shared" si="12"/>
        <v>0</v>
      </c>
      <c r="AB41" s="66">
        <f t="shared" si="12"/>
        <v>0</v>
      </c>
      <c r="AC41" s="66">
        <f t="shared" si="12"/>
        <v>0</v>
      </c>
      <c r="AD41" s="66">
        <f t="shared" si="12"/>
        <v>0</v>
      </c>
      <c r="AE41" s="66">
        <f t="shared" si="12"/>
        <v>0</v>
      </c>
      <c r="AF41" s="66">
        <f t="shared" si="12"/>
        <v>0</v>
      </c>
      <c r="AG41" s="66">
        <f t="shared" si="12"/>
        <v>0</v>
      </c>
      <c r="AH41" s="66">
        <f t="shared" si="12"/>
        <v>0</v>
      </c>
      <c r="AI41" s="66">
        <f t="shared" si="12"/>
        <v>0</v>
      </c>
      <c r="AJ41" s="66">
        <f t="shared" si="12"/>
        <v>0</v>
      </c>
      <c r="AK41" s="66">
        <f t="shared" si="12"/>
        <v>0</v>
      </c>
      <c r="AL41" s="66">
        <f t="shared" si="12"/>
        <v>0</v>
      </c>
      <c r="AM41" s="66">
        <f t="shared" si="12"/>
        <v>0</v>
      </c>
      <c r="AN41" s="66">
        <f t="shared" si="12"/>
        <v>0</v>
      </c>
      <c r="AO41" s="66">
        <f t="shared" si="12"/>
        <v>0</v>
      </c>
      <c r="AP41" s="66">
        <f t="shared" si="12"/>
        <v>0</v>
      </c>
      <c r="AQ41" s="66">
        <f t="shared" si="12"/>
        <v>0</v>
      </c>
      <c r="AR41" s="66">
        <f t="shared" si="12"/>
        <v>0</v>
      </c>
      <c r="AS41" s="66">
        <f t="shared" si="12"/>
        <v>0</v>
      </c>
      <c r="AT41" s="66">
        <f t="shared" si="12"/>
        <v>0</v>
      </c>
      <c r="AU41" s="66">
        <f t="shared" si="12"/>
        <v>0</v>
      </c>
      <c r="AV41" s="66">
        <f t="shared" si="12"/>
        <v>0</v>
      </c>
      <c r="AW41" s="66">
        <f t="shared" si="12"/>
        <v>0</v>
      </c>
      <c r="AX41" s="66">
        <f t="shared" si="12"/>
        <v>0</v>
      </c>
      <c r="AY41" s="66">
        <f t="shared" si="12"/>
        <v>0</v>
      </c>
      <c r="AZ41" s="66">
        <f t="shared" si="12"/>
        <v>0</v>
      </c>
      <c r="BA41" s="66">
        <f t="shared" ref="BA41:BB41" si="13">BA38*BA$4</f>
        <v>0</v>
      </c>
      <c r="BB41" s="66">
        <f t="shared" si="13"/>
        <v>0</v>
      </c>
    </row>
    <row r="43" spans="1:54">
      <c r="A43" s="20" t="s">
        <v>59</v>
      </c>
    </row>
    <row r="45" spans="1:54">
      <c r="E45" s="12" t="s">
        <v>32</v>
      </c>
      <c r="F45" s="21" t="s">
        <v>60</v>
      </c>
      <c r="G45" s="89">
        <f>H34/H41</f>
        <v>1.5905180860844612</v>
      </c>
    </row>
    <row r="46" spans="1:54">
      <c r="E46" s="12" t="s">
        <v>31</v>
      </c>
      <c r="F46" s="34" t="s">
        <v>46</v>
      </c>
      <c r="G46" s="73">
        <f>H34-H41</f>
        <v>26345216.618111365</v>
      </c>
    </row>
    <row r="47" spans="1:54">
      <c r="E47" s="12" t="s">
        <v>61</v>
      </c>
      <c r="F47" s="21" t="s">
        <v>62</v>
      </c>
      <c r="G47" s="88" cm="1">
        <f t="array" ref="G47">IRR(I21:BB21-I38:BB38)</f>
        <v>7.7900137923797352E-2</v>
      </c>
    </row>
    <row r="48" spans="1:54">
      <c r="E48" s="12" t="s">
        <v>63</v>
      </c>
      <c r="F48" s="21" t="s">
        <v>64</v>
      </c>
      <c r="G48" s="21">
        <f>IF(SUMIFS($I51:$BB51,$I48:$BB48,"&lt;"&amp;0)&gt;=30,"30+ years", SUMIFS($I51:$BB51,$I48:$BB48,"&lt;"&amp;0)+1)</f>
        <v>10</v>
      </c>
      <c r="I48" s="104">
        <f>SUM($I21:I21)-SUM($I38:I38)</f>
        <v>-6008817.3913043486</v>
      </c>
      <c r="J48" s="104">
        <f>SUM($I21:J21)-SUM($I38:J38)</f>
        <v>-6008817.3913043486</v>
      </c>
      <c r="K48" s="104">
        <f>SUM($I21:K21)-SUM($I38:K38)</f>
        <v>-8017282.5217391308</v>
      </c>
      <c r="L48" s="104">
        <f>SUM($I21:L21)-SUM($I38:L38)</f>
        <v>-8017282.5217391308</v>
      </c>
      <c r="M48" s="104">
        <f>SUM($I21:M21)-SUM($I38:M38)</f>
        <v>-8757341.2615041714</v>
      </c>
      <c r="N48" s="104">
        <f>SUM($I21:N21)-SUM($I38:N38)</f>
        <v>-24500202.818359826</v>
      </c>
      <c r="O48" s="104">
        <f>SUM($I21:O21)-SUM($I38:O38)</f>
        <v>-44302544.399310336</v>
      </c>
      <c r="P48" s="104">
        <f>SUM($I21:P21)-SUM($I38:P38)</f>
        <v>-38088242.681901559</v>
      </c>
      <c r="Q48" s="104">
        <f>SUM($I21:Q21)-SUM($I38:Q38)</f>
        <v>-34770101.000694968</v>
      </c>
      <c r="R48" s="104">
        <f>SUM($I21:R21)-SUM($I38:R38)</f>
        <v>-31004967.450632688</v>
      </c>
      <c r="S48" s="104">
        <f>SUM($I21:S21)-SUM($I38:S38)</f>
        <v>-26792810.472428888</v>
      </c>
      <c r="T48" s="104">
        <f>SUM($I21:T21)-SUM($I38:T38)</f>
        <v>-22133545.798087146</v>
      </c>
      <c r="U48" s="104">
        <f>SUM($I21:U21)-SUM($I38:U38)</f>
        <v>-17027219.08168143</v>
      </c>
      <c r="V48" s="104">
        <f>SUM($I21:V21)-SUM($I38:V38)</f>
        <v>-11919404.073629417</v>
      </c>
      <c r="W48" s="104">
        <f>SUM($I21:W21)-SUM($I38:W38)</f>
        <v>-6810119.1053753719</v>
      </c>
      <c r="X48" s="104">
        <f>SUM($I21:X21)-SUM($I38:X38)</f>
        <v>-1699355.2571685761</v>
      </c>
      <c r="Y48" s="104">
        <f>SUM($I21:Y21)-SUM($I38:Y38)</f>
        <v>3412896.4317717701</v>
      </c>
      <c r="Z48" s="104">
        <f>SUM($I21:Z21)-SUM($I38:Z38)</f>
        <v>8526672.0692796633</v>
      </c>
      <c r="AA48" s="104">
        <f>SUM($I21:AA21)-SUM($I38:AA38)</f>
        <v>13641926.486421123</v>
      </c>
      <c r="AB48" s="104">
        <f>SUM($I21:AB21)-SUM($I38:AB38)</f>
        <v>18758695.873356096</v>
      </c>
      <c r="AC48" s="104">
        <f>SUM($I21:AC21)-SUM($I38:AC38)</f>
        <v>23877016.379101731</v>
      </c>
      <c r="AD48" s="104">
        <f>SUM($I21:AD21)-SUM($I38:AD38)</f>
        <v>28996920.576438732</v>
      </c>
      <c r="AE48" s="104">
        <f>SUM($I21:AE21)-SUM($I38:AE38)</f>
        <v>34118446.822149418</v>
      </c>
      <c r="AF48" s="104">
        <f>SUM($I21:AF21)-SUM($I38:AF38)</f>
        <v>39241579.150121801</v>
      </c>
      <c r="AG48" s="104">
        <f>SUM($I21:AG21)-SUM($I38:AG38)</f>
        <v>44366356.299769185</v>
      </c>
      <c r="AH48" s="104">
        <f>SUM($I21:AH21)-SUM($I38:AH38)</f>
        <v>49492762.220195331</v>
      </c>
      <c r="AI48" s="104">
        <f>SUM($I21:AI21)-SUM($I38:AI38)</f>
        <v>60629653.427798502</v>
      </c>
      <c r="AJ48" s="104">
        <f>SUM($I21:AJ21)-SUM($I38:AJ38)</f>
        <v>60629653.427798502</v>
      </c>
      <c r="AK48" s="104">
        <f>SUM($I21:AK21)-SUM($I38:AK38)</f>
        <v>60629653.427798502</v>
      </c>
      <c r="AL48" s="104">
        <f>SUM($I21:AL21)-SUM($I38:AL38)</f>
        <v>60629653.427798502</v>
      </c>
      <c r="AM48" s="104">
        <f>SUM($I21:AM21)-SUM($I38:AM38)</f>
        <v>60629653.427798502</v>
      </c>
      <c r="AN48" s="104">
        <f>SUM($I21:AN21)-SUM($I38:AN38)</f>
        <v>60629653.427798502</v>
      </c>
      <c r="AO48" s="104">
        <f>SUM($I21:AO21)-SUM($I38:AO38)</f>
        <v>60629653.427798502</v>
      </c>
      <c r="AP48" s="104">
        <f>SUM($I21:AP21)-SUM($I38:AP38)</f>
        <v>60629653.427798502</v>
      </c>
      <c r="AQ48" s="104">
        <f>SUM($I21:AQ21)-SUM($I38:AQ38)</f>
        <v>60629653.427798502</v>
      </c>
      <c r="AR48" s="104">
        <f>SUM($I21:AR21)-SUM($I38:AR38)</f>
        <v>60629653.427798502</v>
      </c>
      <c r="AS48" s="104">
        <f>SUM($I21:AS21)-SUM($I38:AS38)</f>
        <v>60629653.427798502</v>
      </c>
      <c r="AT48" s="104">
        <f>SUM($I21:AT21)-SUM($I38:AT38)</f>
        <v>60629653.427798502</v>
      </c>
      <c r="AU48" s="104">
        <f>SUM($I21:AU21)-SUM($I38:AU38)</f>
        <v>60629653.427798502</v>
      </c>
      <c r="AV48" s="104">
        <f>SUM($I21:AV21)-SUM($I38:AV38)</f>
        <v>60629653.427798502</v>
      </c>
      <c r="AW48" s="104">
        <f>SUM($I21:AW21)-SUM($I38:AW38)</f>
        <v>60629653.427798502</v>
      </c>
      <c r="AX48" s="104">
        <f>SUM($I21:AX21)-SUM($I38:AX38)</f>
        <v>60629653.427798502</v>
      </c>
      <c r="AY48" s="104">
        <f>SUM($I21:AY21)-SUM($I38:AY38)</f>
        <v>60629653.427798502</v>
      </c>
      <c r="AZ48" s="104">
        <f>SUM($I21:AZ21)-SUM($I38:AZ38)</f>
        <v>60629653.427798502</v>
      </c>
      <c r="BA48" s="104">
        <f>SUM($I21:BA21)-SUM($I38:BA38)</f>
        <v>60629653.427798502</v>
      </c>
      <c r="BB48" s="104">
        <f>SUM($I21:BB21)-SUM($I38:BB38)</f>
        <v>60629653.427798502</v>
      </c>
    </row>
    <row r="51" spans="7:54">
      <c r="I51" s="105">
        <f t="shared" ref="I51:BB51" si="14">IF(I3&gt;0,1,0)</f>
        <v>0</v>
      </c>
      <c r="J51" s="105">
        <f t="shared" si="14"/>
        <v>0</v>
      </c>
      <c r="K51" s="105">
        <f t="shared" si="14"/>
        <v>0</v>
      </c>
      <c r="L51" s="105">
        <f t="shared" si="14"/>
        <v>0</v>
      </c>
      <c r="M51" s="105">
        <f t="shared" si="14"/>
        <v>0</v>
      </c>
      <c r="N51" s="105">
        <f t="shared" si="14"/>
        <v>0</v>
      </c>
      <c r="O51" s="105">
        <f t="shared" si="14"/>
        <v>0</v>
      </c>
      <c r="P51" s="105">
        <f t="shared" si="14"/>
        <v>1</v>
      </c>
      <c r="Q51" s="105">
        <f t="shared" si="14"/>
        <v>1</v>
      </c>
      <c r="R51" s="105">
        <f t="shared" si="14"/>
        <v>1</v>
      </c>
      <c r="S51" s="105">
        <f t="shared" si="14"/>
        <v>1</v>
      </c>
      <c r="T51" s="105">
        <f t="shared" si="14"/>
        <v>1</v>
      </c>
      <c r="U51" s="105">
        <f t="shared" si="14"/>
        <v>1</v>
      </c>
      <c r="V51" s="105">
        <f t="shared" si="14"/>
        <v>1</v>
      </c>
      <c r="W51" s="105">
        <f t="shared" si="14"/>
        <v>1</v>
      </c>
      <c r="X51" s="105">
        <f t="shared" si="14"/>
        <v>1</v>
      </c>
      <c r="Y51" s="105">
        <f t="shared" si="14"/>
        <v>1</v>
      </c>
      <c r="Z51" s="105">
        <f t="shared" si="14"/>
        <v>1</v>
      </c>
      <c r="AA51" s="105">
        <f t="shared" si="14"/>
        <v>1</v>
      </c>
      <c r="AB51" s="105">
        <f t="shared" si="14"/>
        <v>1</v>
      </c>
      <c r="AC51" s="105">
        <f t="shared" si="14"/>
        <v>1</v>
      </c>
      <c r="AD51" s="105">
        <f t="shared" si="14"/>
        <v>1</v>
      </c>
      <c r="AE51" s="105">
        <f t="shared" si="14"/>
        <v>1</v>
      </c>
      <c r="AF51" s="105">
        <f t="shared" si="14"/>
        <v>1</v>
      </c>
      <c r="AG51" s="105">
        <f t="shared" si="14"/>
        <v>1</v>
      </c>
      <c r="AH51" s="105">
        <f t="shared" si="14"/>
        <v>1</v>
      </c>
      <c r="AI51" s="105">
        <f t="shared" si="14"/>
        <v>1</v>
      </c>
      <c r="AJ51" s="105">
        <f t="shared" si="14"/>
        <v>0</v>
      </c>
      <c r="AK51" s="105">
        <f t="shared" si="14"/>
        <v>0</v>
      </c>
      <c r="AL51" s="105">
        <f t="shared" si="14"/>
        <v>0</v>
      </c>
      <c r="AM51" s="105">
        <f t="shared" si="14"/>
        <v>0</v>
      </c>
      <c r="AN51" s="105">
        <f t="shared" si="14"/>
        <v>0</v>
      </c>
      <c r="AO51" s="105">
        <f t="shared" si="14"/>
        <v>0</v>
      </c>
      <c r="AP51" s="105">
        <f t="shared" si="14"/>
        <v>0</v>
      </c>
      <c r="AQ51" s="105">
        <f t="shared" si="14"/>
        <v>0</v>
      </c>
      <c r="AR51" s="105">
        <f t="shared" si="14"/>
        <v>0</v>
      </c>
      <c r="AS51" s="105">
        <f t="shared" si="14"/>
        <v>0</v>
      </c>
      <c r="AT51" s="105">
        <f t="shared" si="14"/>
        <v>0</v>
      </c>
      <c r="AU51" s="105">
        <f t="shared" si="14"/>
        <v>0</v>
      </c>
      <c r="AV51" s="105">
        <f t="shared" si="14"/>
        <v>0</v>
      </c>
      <c r="AW51" s="105">
        <f t="shared" si="14"/>
        <v>0</v>
      </c>
      <c r="AX51" s="105">
        <f t="shared" si="14"/>
        <v>0</v>
      </c>
      <c r="AY51" s="105">
        <f t="shared" si="14"/>
        <v>0</v>
      </c>
      <c r="AZ51" s="105">
        <f t="shared" si="14"/>
        <v>0</v>
      </c>
      <c r="BA51" s="105">
        <f t="shared" si="14"/>
        <v>0</v>
      </c>
      <c r="BB51" s="105">
        <f t="shared" si="14"/>
        <v>0</v>
      </c>
    </row>
    <row r="53" spans="7:54">
      <c r="G53" s="89"/>
    </row>
    <row r="54" spans="7:54">
      <c r="G54" s="73"/>
    </row>
    <row r="55" spans="7:54">
      <c r="G55" s="88"/>
    </row>
    <row r="56" spans="7:54">
      <c r="G56" s="21"/>
    </row>
  </sheetData>
  <pageMargins left="0.7" right="0.7" top="0.75" bottom="0.75" header="0.3" footer="0.3"/>
  <pageSetup orientation="portrait" horizont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1AB7-4E45-4FF4-BD72-BC4808FDB046}">
  <sheetPr>
    <tabColor theme="9" tint="0.79998168889431442"/>
  </sheetPr>
  <dimension ref="A1:XFC189"/>
  <sheetViews>
    <sheetView showGridLines="0" zoomScale="85" zoomScaleNormal="85" zoomScaleSheetLayoutView="50" workbookViewId="0">
      <pane xSplit="8" ySplit="6" topLeftCell="I67" activePane="bottomRight" state="frozen"/>
      <selection pane="topRight" activeCell="F204" sqref="F204:G204"/>
      <selection pane="bottomLeft" activeCell="F204" sqref="F204:G204"/>
      <selection pane="bottomRight"/>
    </sheetView>
  </sheetViews>
  <sheetFormatPr defaultColWidth="0" defaultRowHeight="15"/>
  <cols>
    <col min="1" max="3" width="2.28515625" customWidth="1"/>
    <col min="4" max="4" width="3.7109375" customWidth="1"/>
    <col min="5" max="5" width="47.42578125" customWidth="1"/>
    <col min="6" max="6" width="22.7109375" style="19" customWidth="1"/>
    <col min="7" max="7" width="26.42578125" customWidth="1"/>
    <col min="8" max="8" width="28.28515625" customWidth="1"/>
    <col min="9" max="9" width="15" bestFit="1" customWidth="1"/>
    <col min="10" max="12" width="12.5703125" bestFit="1" customWidth="1"/>
    <col min="13" max="13" width="13.42578125" bestFit="1" customWidth="1"/>
    <col min="14" max="14" width="13.7109375" bestFit="1" customWidth="1"/>
    <col min="15" max="15" width="18.28515625" bestFit="1" customWidth="1"/>
    <col min="16" max="34" width="18" bestFit="1" customWidth="1"/>
    <col min="35" max="49" width="13.7109375" bestFit="1" customWidth="1"/>
    <col min="50" max="54" width="11.5703125" customWidth="1"/>
    <col min="55" max="16383" width="9.28515625" hidden="1"/>
    <col min="16384" max="16384" width="5" hidden="1"/>
  </cols>
  <sheetData>
    <row r="1" spans="1:54">
      <c r="A1" s="20"/>
      <c r="B1" s="13"/>
      <c r="C1" s="13"/>
    </row>
    <row r="2" spans="1:54">
      <c r="A2" s="20"/>
      <c r="B2" s="13"/>
      <c r="C2" s="13"/>
      <c r="G2" s="12" t="s">
        <v>33</v>
      </c>
      <c r="H2" s="12" t="s">
        <v>34</v>
      </c>
      <c r="I2" s="12">
        <v>2020</v>
      </c>
      <c r="J2" s="12">
        <v>2021</v>
      </c>
      <c r="K2" s="12">
        <v>2022</v>
      </c>
      <c r="L2" s="12">
        <v>2023</v>
      </c>
      <c r="M2" s="12">
        <v>2024</v>
      </c>
      <c r="N2" s="12">
        <v>2025</v>
      </c>
      <c r="O2" s="12">
        <v>2026</v>
      </c>
      <c r="P2" s="12">
        <v>2027</v>
      </c>
      <c r="Q2" s="12">
        <v>2028</v>
      </c>
      <c r="R2" s="12">
        <v>2029</v>
      </c>
      <c r="S2" s="12">
        <v>2030</v>
      </c>
      <c r="T2" s="12">
        <v>2031</v>
      </c>
      <c r="U2" s="12">
        <v>2032</v>
      </c>
      <c r="V2" s="12">
        <v>2033</v>
      </c>
      <c r="W2" s="12">
        <v>2034</v>
      </c>
      <c r="X2" s="12">
        <v>2035</v>
      </c>
      <c r="Y2" s="12">
        <v>2036</v>
      </c>
      <c r="Z2" s="12">
        <v>2037</v>
      </c>
      <c r="AA2" s="12">
        <v>2038</v>
      </c>
      <c r="AB2" s="12">
        <v>2039</v>
      </c>
      <c r="AC2" s="12">
        <v>2040</v>
      </c>
      <c r="AD2" s="12">
        <v>2041</v>
      </c>
      <c r="AE2" s="12">
        <v>2042</v>
      </c>
      <c r="AF2" s="12">
        <v>2043</v>
      </c>
      <c r="AG2" s="12">
        <v>2044</v>
      </c>
      <c r="AH2" s="12">
        <v>2045</v>
      </c>
      <c r="AI2" s="12">
        <v>2046</v>
      </c>
      <c r="AJ2" s="12">
        <v>2047</v>
      </c>
      <c r="AK2" s="12">
        <v>2048</v>
      </c>
      <c r="AL2" s="12">
        <v>2049</v>
      </c>
      <c r="AM2" s="12">
        <v>2050</v>
      </c>
      <c r="AN2" s="12">
        <v>2051</v>
      </c>
      <c r="AO2" s="12">
        <v>2052</v>
      </c>
      <c r="AP2" s="12">
        <v>2053</v>
      </c>
      <c r="AQ2" s="12">
        <v>2054</v>
      </c>
      <c r="AR2" s="12">
        <v>2055</v>
      </c>
      <c r="AS2" s="12">
        <v>2056</v>
      </c>
      <c r="AT2" s="12">
        <v>2057</v>
      </c>
      <c r="AU2" s="12">
        <v>2058</v>
      </c>
      <c r="AV2" s="12">
        <v>2059</v>
      </c>
      <c r="AW2" s="12">
        <v>2060</v>
      </c>
      <c r="AX2" s="12">
        <v>2061</v>
      </c>
      <c r="AY2" s="12">
        <v>2062</v>
      </c>
      <c r="AZ2" s="12">
        <v>2062</v>
      </c>
      <c r="BA2" s="12">
        <v>2062</v>
      </c>
      <c r="BB2" s="12">
        <v>2062</v>
      </c>
    </row>
    <row r="3" spans="1:54" s="93" customFormat="1">
      <c r="E3" s="93" t="s">
        <v>35</v>
      </c>
      <c r="F3" s="206"/>
      <c r="G3" s="93" t="s">
        <v>36</v>
      </c>
      <c r="H3" s="94">
        <f>COUNTIFS(I3:BB3,"&gt;"&amp;0)</f>
        <v>20</v>
      </c>
      <c r="I3" s="99">
        <f>IFERROR(IF(AND(I2&gt;=$F$9,I2&lt;SUM($F$9,$F$10)),IF(I2=$F$9,$F$11,1),0),0)</f>
        <v>0</v>
      </c>
      <c r="J3" s="99">
        <f t="shared" ref="J3:BB3" si="0">IFERROR(IF(AND(J2&gt;=$F$9,J2&lt;SUM($F$9,$F$10)),IF(J2=$F$9,$F$11,1),0),0)</f>
        <v>0</v>
      </c>
      <c r="K3" s="99">
        <f t="shared" si="0"/>
        <v>0</v>
      </c>
      <c r="L3" s="99">
        <f t="shared" si="0"/>
        <v>0</v>
      </c>
      <c r="M3" s="99">
        <f t="shared" si="0"/>
        <v>0</v>
      </c>
      <c r="N3" s="99">
        <f t="shared" si="0"/>
        <v>0</v>
      </c>
      <c r="O3" s="99">
        <f t="shared" si="0"/>
        <v>0</v>
      </c>
      <c r="P3" s="99">
        <f t="shared" si="0"/>
        <v>0.75</v>
      </c>
      <c r="Q3" s="99">
        <f t="shared" si="0"/>
        <v>1</v>
      </c>
      <c r="R3" s="99">
        <f t="shared" si="0"/>
        <v>1</v>
      </c>
      <c r="S3" s="99">
        <f t="shared" si="0"/>
        <v>1</v>
      </c>
      <c r="T3" s="99">
        <f t="shared" si="0"/>
        <v>1</v>
      </c>
      <c r="U3" s="99">
        <f t="shared" si="0"/>
        <v>1</v>
      </c>
      <c r="V3" s="99">
        <f t="shared" si="0"/>
        <v>1</v>
      </c>
      <c r="W3" s="99">
        <f t="shared" si="0"/>
        <v>1</v>
      </c>
      <c r="X3" s="99">
        <f t="shared" si="0"/>
        <v>1</v>
      </c>
      <c r="Y3" s="99">
        <f t="shared" si="0"/>
        <v>1</v>
      </c>
      <c r="Z3" s="99">
        <f t="shared" si="0"/>
        <v>1</v>
      </c>
      <c r="AA3" s="99">
        <f t="shared" si="0"/>
        <v>1</v>
      </c>
      <c r="AB3" s="99">
        <f t="shared" si="0"/>
        <v>1</v>
      </c>
      <c r="AC3" s="99">
        <f t="shared" si="0"/>
        <v>1</v>
      </c>
      <c r="AD3" s="99">
        <f t="shared" si="0"/>
        <v>1</v>
      </c>
      <c r="AE3" s="99">
        <f t="shared" si="0"/>
        <v>1</v>
      </c>
      <c r="AF3" s="99">
        <f t="shared" si="0"/>
        <v>1</v>
      </c>
      <c r="AG3" s="99">
        <f t="shared" si="0"/>
        <v>1</v>
      </c>
      <c r="AH3" s="99">
        <f t="shared" si="0"/>
        <v>1</v>
      </c>
      <c r="AI3" s="99">
        <f t="shared" si="0"/>
        <v>1</v>
      </c>
      <c r="AJ3" s="99">
        <f t="shared" si="0"/>
        <v>0</v>
      </c>
      <c r="AK3" s="99">
        <f t="shared" si="0"/>
        <v>0</v>
      </c>
      <c r="AL3" s="99">
        <f t="shared" si="0"/>
        <v>0</v>
      </c>
      <c r="AM3" s="99">
        <f t="shared" si="0"/>
        <v>0</v>
      </c>
      <c r="AN3" s="99">
        <f t="shared" si="0"/>
        <v>0</v>
      </c>
      <c r="AO3" s="99">
        <f t="shared" si="0"/>
        <v>0</v>
      </c>
      <c r="AP3" s="99">
        <f t="shared" si="0"/>
        <v>0</v>
      </c>
      <c r="AQ3" s="99">
        <f t="shared" si="0"/>
        <v>0</v>
      </c>
      <c r="AR3" s="99">
        <f t="shared" si="0"/>
        <v>0</v>
      </c>
      <c r="AS3" s="99">
        <f t="shared" si="0"/>
        <v>0</v>
      </c>
      <c r="AT3" s="99">
        <f t="shared" si="0"/>
        <v>0</v>
      </c>
      <c r="AU3" s="99">
        <f t="shared" si="0"/>
        <v>0</v>
      </c>
      <c r="AV3" s="99">
        <f t="shared" si="0"/>
        <v>0</v>
      </c>
      <c r="AW3" s="99">
        <f t="shared" si="0"/>
        <v>0</v>
      </c>
      <c r="AX3" s="99">
        <f t="shared" si="0"/>
        <v>0</v>
      </c>
      <c r="AY3" s="99">
        <f t="shared" si="0"/>
        <v>0</v>
      </c>
      <c r="AZ3" s="99">
        <f t="shared" si="0"/>
        <v>0</v>
      </c>
      <c r="BA3" s="99">
        <f t="shared" si="0"/>
        <v>0</v>
      </c>
      <c r="BB3" s="99">
        <f t="shared" si="0"/>
        <v>0</v>
      </c>
    </row>
    <row r="4" spans="1:54" s="93" customFormat="1">
      <c r="E4" s="93" t="s">
        <v>164</v>
      </c>
      <c r="F4" s="206"/>
      <c r="G4" s="93" t="s">
        <v>36</v>
      </c>
      <c r="H4" s="95" t="s">
        <v>38</v>
      </c>
      <c r="I4" s="100">
        <f t="shared" ref="I4:BB4" si="1">IF(I2&lt;$F$8,1,1/((1+$F$13)^(I2-$F$8)))</f>
        <v>1</v>
      </c>
      <c r="J4" s="100">
        <f t="shared" si="1"/>
        <v>1</v>
      </c>
      <c r="K4" s="100">
        <f t="shared" si="1"/>
        <v>1</v>
      </c>
      <c r="L4" s="100">
        <f t="shared" si="1"/>
        <v>0.96993210475266745</v>
      </c>
      <c r="M4" s="100">
        <f t="shared" si="1"/>
        <v>0.94076828782993938</v>
      </c>
      <c r="N4" s="100">
        <f t="shared" si="1"/>
        <v>0.91248136549945624</v>
      </c>
      <c r="O4" s="100">
        <f t="shared" si="1"/>
        <v>0.88504497138647553</v>
      </c>
      <c r="P4" s="100">
        <f t="shared" si="1"/>
        <v>0.85843353189764848</v>
      </c>
      <c r="Q4" s="100">
        <f t="shared" si="1"/>
        <v>0.83262224238375215</v>
      </c>
      <c r="R4" s="100">
        <f t="shared" si="1"/>
        <v>0.80758704401915837</v>
      </c>
      <c r="S4" s="100">
        <f t="shared" si="1"/>
        <v>0.78330460137648728</v>
      </c>
      <c r="T4" s="100">
        <f t="shared" si="1"/>
        <v>0.75975228067554545</v>
      </c>
      <c r="U4" s="100">
        <f t="shared" si="1"/>
        <v>0.73690812868627109</v>
      </c>
      <c r="V4" s="100">
        <f t="shared" si="1"/>
        <v>0.71475085226602442</v>
      </c>
      <c r="W4" s="100">
        <f t="shared" si="1"/>
        <v>0.69325979851214781</v>
      </c>
      <c r="X4" s="100">
        <f t="shared" si="1"/>
        <v>0.67241493551129761</v>
      </c>
      <c r="Y4" s="100">
        <f t="shared" si="1"/>
        <v>0.65219683366760206</v>
      </c>
      <c r="Z4" s="100">
        <f t="shared" si="1"/>
        <v>0.63258664759224259</v>
      </c>
      <c r="AA4" s="100">
        <f t="shared" si="1"/>
        <v>0.6135660985375776</v>
      </c>
      <c r="AB4" s="100">
        <f t="shared" si="1"/>
        <v>0.59511745735943511</v>
      </c>
      <c r="AC4" s="100">
        <f t="shared" si="1"/>
        <v>0.57722352799169274</v>
      </c>
      <c r="AD4" s="100">
        <f t="shared" si="1"/>
        <v>0.55986763141774276</v>
      </c>
      <c r="AE4" s="100">
        <f t="shared" si="1"/>
        <v>0.54303359012390184</v>
      </c>
      <c r="AF4" s="100">
        <f t="shared" si="1"/>
        <v>0.52670571302027336</v>
      </c>
      <c r="AG4" s="100">
        <f t="shared" si="1"/>
        <v>0.51086878081500819</v>
      </c>
      <c r="AH4" s="100">
        <f t="shared" si="1"/>
        <v>0.49550803182832992</v>
      </c>
      <c r="AI4" s="100">
        <f t="shared" si="1"/>
        <v>0.4806091482331038</v>
      </c>
      <c r="AJ4" s="100">
        <f t="shared" si="1"/>
        <v>0.46615824270912104</v>
      </c>
      <c r="AK4" s="100">
        <f t="shared" si="1"/>
        <v>0.4521418454986626</v>
      </c>
      <c r="AL4" s="100">
        <f t="shared" si="1"/>
        <v>0.4385468918512731</v>
      </c>
      <c r="AM4" s="100">
        <f t="shared" si="1"/>
        <v>0.42536070984604568</v>
      </c>
      <c r="AN4" s="100">
        <f t="shared" si="1"/>
        <v>0.41257100858006374</v>
      </c>
      <c r="AO4" s="100">
        <f t="shared" si="1"/>
        <v>0.400165866711992</v>
      </c>
      <c r="AP4" s="100">
        <f t="shared" si="1"/>
        <v>0.38813372135013779</v>
      </c>
      <c r="AQ4" s="100">
        <f t="shared" si="1"/>
        <v>0.37646335727462438</v>
      </c>
      <c r="AR4" s="100">
        <f t="shared" si="1"/>
        <v>0.36514389648363188</v>
      </c>
      <c r="AS4" s="100">
        <f t="shared" si="1"/>
        <v>0.35416478805395912</v>
      </c>
      <c r="AT4" s="100">
        <f t="shared" si="1"/>
        <v>0.34351579830645895</v>
      </c>
      <c r="AU4" s="100">
        <f t="shared" si="1"/>
        <v>0.33318700126717649</v>
      </c>
      <c r="AV4" s="100">
        <f t="shared" si="1"/>
        <v>0.32316876941530209</v>
      </c>
      <c r="AW4" s="100">
        <f t="shared" si="1"/>
        <v>0.31345176470931341</v>
      </c>
      <c r="AX4" s="100">
        <f t="shared" si="1"/>
        <v>0.30402692988294228</v>
      </c>
      <c r="AY4" s="100">
        <f t="shared" si="1"/>
        <v>0.29488548000285381</v>
      </c>
      <c r="AZ4" s="100">
        <f t="shared" si="1"/>
        <v>0.29488548000285381</v>
      </c>
      <c r="BA4" s="100">
        <f t="shared" si="1"/>
        <v>0.29488548000285381</v>
      </c>
      <c r="BB4" s="100">
        <f t="shared" si="1"/>
        <v>0.29488548000285381</v>
      </c>
    </row>
    <row r="5" spans="1:54" s="93" customFormat="1">
      <c r="E5" s="93" t="s">
        <v>165</v>
      </c>
      <c r="F5" s="206"/>
      <c r="H5" s="95"/>
      <c r="I5" s="100"/>
      <c r="J5" s="100">
        <f t="shared" ref="J5:BB5" si="2">IF(J2&lt;$F$8,1,1/((1+$F$14)^(J2-$F$8)))</f>
        <v>1</v>
      </c>
      <c r="K5" s="100">
        <f t="shared" si="2"/>
        <v>1</v>
      </c>
      <c r="L5" s="100">
        <f t="shared" si="2"/>
        <v>0.98039215686274506</v>
      </c>
      <c r="M5" s="100">
        <f t="shared" si="2"/>
        <v>0.96116878123798544</v>
      </c>
      <c r="N5" s="100">
        <f t="shared" si="2"/>
        <v>0.94232233454704462</v>
      </c>
      <c r="O5" s="100">
        <f t="shared" si="2"/>
        <v>0.9238454260265142</v>
      </c>
      <c r="P5" s="100">
        <f t="shared" si="2"/>
        <v>0.90573080982991594</v>
      </c>
      <c r="Q5" s="100">
        <f t="shared" si="2"/>
        <v>0.88797138218619198</v>
      </c>
      <c r="R5" s="100">
        <f t="shared" si="2"/>
        <v>0.87056017861391388</v>
      </c>
      <c r="S5" s="100">
        <f t="shared" si="2"/>
        <v>0.85349037119011162</v>
      </c>
      <c r="T5" s="100">
        <f t="shared" si="2"/>
        <v>0.83675526587265847</v>
      </c>
      <c r="U5" s="100">
        <f t="shared" si="2"/>
        <v>0.82034829987515534</v>
      </c>
      <c r="V5" s="100">
        <f t="shared" si="2"/>
        <v>0.80426303909328967</v>
      </c>
      <c r="W5" s="100">
        <f t="shared" si="2"/>
        <v>0.78849317558165644</v>
      </c>
      <c r="X5" s="100">
        <f t="shared" si="2"/>
        <v>0.77303252508005538</v>
      </c>
      <c r="Y5" s="100">
        <f t="shared" si="2"/>
        <v>0.75787502458828948</v>
      </c>
      <c r="Z5" s="100">
        <f t="shared" si="2"/>
        <v>0.74301472998851925</v>
      </c>
      <c r="AA5" s="100">
        <f t="shared" si="2"/>
        <v>0.72844581371423445</v>
      </c>
      <c r="AB5" s="100">
        <f t="shared" si="2"/>
        <v>0.7141625624649357</v>
      </c>
      <c r="AC5" s="100">
        <f t="shared" si="2"/>
        <v>0.7001593749656233</v>
      </c>
      <c r="AD5" s="100">
        <f t="shared" si="2"/>
        <v>0.68643075977021895</v>
      </c>
      <c r="AE5" s="100">
        <f t="shared" si="2"/>
        <v>0.67297133310805779</v>
      </c>
      <c r="AF5" s="100">
        <f t="shared" si="2"/>
        <v>0.65977581677260566</v>
      </c>
      <c r="AG5" s="100">
        <f t="shared" si="2"/>
        <v>0.64683903605157411</v>
      </c>
      <c r="AH5" s="100">
        <f t="shared" si="2"/>
        <v>0.63415591769762181</v>
      </c>
      <c r="AI5" s="100">
        <f t="shared" si="2"/>
        <v>0.62172148793884485</v>
      </c>
      <c r="AJ5" s="100">
        <f t="shared" si="2"/>
        <v>0.60953087052827937</v>
      </c>
      <c r="AK5" s="100">
        <f t="shared" si="2"/>
        <v>0.59757928483164635</v>
      </c>
      <c r="AL5" s="100">
        <f t="shared" si="2"/>
        <v>0.58586204395259456</v>
      </c>
      <c r="AM5" s="100">
        <f t="shared" si="2"/>
        <v>0.57437455289470041</v>
      </c>
      <c r="AN5" s="100">
        <f t="shared" si="2"/>
        <v>0.56311230675951029</v>
      </c>
      <c r="AO5" s="100">
        <f t="shared" si="2"/>
        <v>0.55207088897991197</v>
      </c>
      <c r="AP5" s="100">
        <f t="shared" si="2"/>
        <v>0.54124596958814919</v>
      </c>
      <c r="AQ5" s="100">
        <f t="shared" si="2"/>
        <v>0.53063330351779314</v>
      </c>
      <c r="AR5" s="100">
        <f t="shared" si="2"/>
        <v>0.52022872893901284</v>
      </c>
      <c r="AS5" s="100">
        <f t="shared" si="2"/>
        <v>0.51002816562648323</v>
      </c>
      <c r="AT5" s="100">
        <f t="shared" si="2"/>
        <v>0.50002761335929735</v>
      </c>
      <c r="AU5" s="100">
        <f t="shared" si="2"/>
        <v>0.49022315035225233</v>
      </c>
      <c r="AV5" s="100">
        <f t="shared" si="2"/>
        <v>0.48061093171789437</v>
      </c>
      <c r="AW5" s="100">
        <f t="shared" si="2"/>
        <v>0.47118718795871989</v>
      </c>
      <c r="AX5" s="100">
        <f t="shared" si="2"/>
        <v>0.46194822348894127</v>
      </c>
      <c r="AY5" s="100">
        <f t="shared" si="2"/>
        <v>0.45289041518523643</v>
      </c>
      <c r="AZ5" s="100">
        <f t="shared" si="2"/>
        <v>0.45289041518523643</v>
      </c>
      <c r="BA5" s="100">
        <f t="shared" si="2"/>
        <v>0.45289041518523643</v>
      </c>
      <c r="BB5" s="100">
        <f t="shared" si="2"/>
        <v>0.45289041518523643</v>
      </c>
    </row>
    <row r="6" spans="1:54">
      <c r="A6" s="20"/>
      <c r="B6" s="13"/>
      <c r="C6" s="13"/>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row>
    <row r="7" spans="1:54" ht="15.75">
      <c r="A7" s="28"/>
      <c r="B7" s="29"/>
      <c r="C7" s="29"/>
      <c r="D7" s="26"/>
      <c r="E7" s="12" t="s">
        <v>39</v>
      </c>
      <c r="F7" s="21" t="s">
        <v>40</v>
      </c>
      <c r="G7" s="21" t="s">
        <v>41</v>
      </c>
      <c r="H7" s="25"/>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6"/>
      <c r="AY7" s="26"/>
      <c r="AZ7" s="26"/>
      <c r="BA7" s="26"/>
      <c r="BB7" s="26"/>
    </row>
    <row r="8" spans="1:54" ht="15.75">
      <c r="A8" s="28"/>
      <c r="B8" s="29"/>
      <c r="C8" s="29"/>
      <c r="D8" s="26"/>
      <c r="E8" t="s">
        <v>166</v>
      </c>
      <c r="F8" s="97">
        <f>'Project Assumptions'!G4</f>
        <v>2022</v>
      </c>
      <c r="G8" s="30"/>
      <c r="H8" s="25"/>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6"/>
      <c r="AY8" s="26"/>
      <c r="AZ8" s="26"/>
      <c r="BA8" s="26"/>
      <c r="BB8" s="26"/>
    </row>
    <row r="9" spans="1:54" ht="15.75">
      <c r="A9" s="28"/>
      <c r="B9" s="29"/>
      <c r="C9" s="29"/>
      <c r="D9" s="26"/>
      <c r="E9" t="s">
        <v>76</v>
      </c>
      <c r="F9" s="97">
        <f>'Project Assumptions'!G10</f>
        <v>2027</v>
      </c>
      <c r="G9" s="30"/>
      <c r="H9" s="25"/>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6"/>
      <c r="AY9" s="26"/>
      <c r="AZ9" s="26"/>
      <c r="BA9" s="26"/>
      <c r="BB9" s="26"/>
    </row>
    <row r="10" spans="1:54" ht="15.75">
      <c r="A10" s="28"/>
      <c r="B10" s="29"/>
      <c r="C10" s="29"/>
      <c r="D10" s="26"/>
      <c r="E10" t="s">
        <v>79</v>
      </c>
      <c r="F10" s="190">
        <f>'Project Assumptions'!G12</f>
        <v>20</v>
      </c>
      <c r="G10" s="30"/>
      <c r="H10" s="25"/>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6"/>
      <c r="AY10" s="26"/>
      <c r="AZ10" s="26"/>
      <c r="BA10" s="26"/>
      <c r="BB10" s="26"/>
    </row>
    <row r="11" spans="1:54" ht="15.75">
      <c r="A11" s="28"/>
      <c r="B11" s="29"/>
      <c r="C11" s="29"/>
      <c r="D11" s="26"/>
      <c r="E11" t="s">
        <v>383</v>
      </c>
      <c r="F11" s="190">
        <f>'Project Assumptions'!G13</f>
        <v>0.75</v>
      </c>
      <c r="G11" s="30"/>
      <c r="H11" s="25"/>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6"/>
      <c r="AY11" s="26"/>
      <c r="AZ11" s="26"/>
      <c r="BA11" s="26"/>
      <c r="BB11" s="26"/>
    </row>
    <row r="12" spans="1:54" ht="15.75">
      <c r="A12" s="28"/>
      <c r="B12" s="29"/>
      <c r="C12" s="29"/>
      <c r="D12" s="26"/>
      <c r="F12" s="191"/>
      <c r="G12" s="30"/>
      <c r="H12" s="25"/>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6"/>
      <c r="AY12" s="26"/>
      <c r="AZ12" s="26"/>
      <c r="BA12" s="26"/>
      <c r="BB12" s="26"/>
    </row>
    <row r="13" spans="1:54" ht="15.75">
      <c r="A13" s="28"/>
      <c r="B13" s="29"/>
      <c r="C13" s="29"/>
      <c r="D13" s="26"/>
      <c r="E13" t="s">
        <v>70</v>
      </c>
      <c r="F13" s="201">
        <f>'Project Assumptions'!G5</f>
        <v>3.1E-2</v>
      </c>
      <c r="G13" s="30"/>
      <c r="H13" s="25"/>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6"/>
      <c r="AY13" s="26"/>
      <c r="AZ13" s="26"/>
      <c r="BA13" s="26"/>
      <c r="BB13" s="26"/>
    </row>
    <row r="14" spans="1:54" ht="15.75">
      <c r="A14" s="28"/>
      <c r="B14" s="29"/>
      <c r="C14" s="29"/>
      <c r="D14" s="26"/>
      <c r="E14" t="s">
        <v>71</v>
      </c>
      <c r="F14" s="201">
        <f>'Project Assumptions'!G6</f>
        <v>0.02</v>
      </c>
      <c r="G14" s="30"/>
      <c r="H14" s="25"/>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6"/>
      <c r="AY14" s="26"/>
      <c r="AZ14" s="26"/>
      <c r="BA14" s="26"/>
      <c r="BB14" s="26"/>
    </row>
    <row r="15" spans="1:54" ht="15.75">
      <c r="A15" s="28"/>
      <c r="B15" s="29"/>
      <c r="C15" s="29"/>
      <c r="D15" s="26"/>
      <c r="F15" s="61"/>
      <c r="G15" s="30"/>
      <c r="H15" s="25"/>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6"/>
      <c r="AY15" s="26"/>
      <c r="AZ15" s="26"/>
      <c r="BA15" s="26"/>
      <c r="BB15" s="26"/>
    </row>
    <row r="16" spans="1:54">
      <c r="A16" s="108"/>
      <c r="B16" s="13"/>
      <c r="C16" s="13"/>
      <c r="E16" s="12"/>
      <c r="G16" s="21"/>
      <c r="H16" s="25"/>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row>
    <row r="17" spans="1:54" s="79" customFormat="1">
      <c r="A17" s="77"/>
      <c r="B17" s="78"/>
      <c r="C17" s="77" t="s">
        <v>131</v>
      </c>
      <c r="E17" s="82"/>
      <c r="F17" s="80"/>
      <c r="G17" s="80"/>
      <c r="H17" s="83"/>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row>
    <row r="19" spans="1:54">
      <c r="A19" s="20"/>
      <c r="B19" s="13"/>
      <c r="C19" s="13"/>
      <c r="D19" s="12"/>
      <c r="F19" s="21"/>
      <c r="G19" s="21"/>
      <c r="H19" s="62"/>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row>
    <row r="20" spans="1:54">
      <c r="A20" s="20"/>
      <c r="B20" s="13"/>
      <c r="C20" s="13"/>
      <c r="E20" t="s">
        <v>167</v>
      </c>
      <c r="F20" s="21"/>
      <c r="G20" s="19" t="s">
        <v>168</v>
      </c>
      <c r="H20" s="71">
        <f t="shared" ref="H20:H24" si="3">SUM(I20:BB20)</f>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0</v>
      </c>
      <c r="AL20" s="72">
        <v>0</v>
      </c>
      <c r="AM20" s="72">
        <v>0</v>
      </c>
      <c r="AN20" s="72">
        <v>0</v>
      </c>
      <c r="AO20" s="72">
        <v>0</v>
      </c>
      <c r="AP20" s="72">
        <v>0</v>
      </c>
      <c r="AQ20" s="72">
        <v>0</v>
      </c>
      <c r="AR20" s="72">
        <v>0</v>
      </c>
      <c r="AS20" s="72">
        <v>0</v>
      </c>
      <c r="AT20" s="72">
        <v>0</v>
      </c>
      <c r="AU20" s="72">
        <v>0</v>
      </c>
      <c r="AV20" s="72">
        <v>0</v>
      </c>
      <c r="AW20" s="72">
        <v>0</v>
      </c>
      <c r="AX20" s="72">
        <v>0</v>
      </c>
      <c r="AY20" s="72">
        <v>0</v>
      </c>
      <c r="AZ20" s="72">
        <v>0</v>
      </c>
      <c r="BA20" s="72">
        <v>0</v>
      </c>
      <c r="BB20" s="72">
        <v>0</v>
      </c>
    </row>
    <row r="21" spans="1:54">
      <c r="A21" s="20"/>
      <c r="B21" s="13"/>
      <c r="C21" s="13"/>
      <c r="E21" t="s">
        <v>169</v>
      </c>
      <c r="F21" s="21"/>
      <c r="G21" s="19" t="s">
        <v>168</v>
      </c>
      <c r="H21" s="71">
        <f t="shared" si="3"/>
        <v>772094.57547169772</v>
      </c>
      <c r="I21" s="72">
        <f>_xlfn.IFNA(INDEX('O&amp;M'!$F$11:$F$30,MATCH('Intermediate Calcs'!I$2,'O&amp;M'!$E$11:$E$30,0)),0)*I$3</f>
        <v>0</v>
      </c>
      <c r="J21" s="72">
        <f>_xlfn.IFNA(INDEX('O&amp;M'!$F$11:$F$30,MATCH('Intermediate Calcs'!J$2,'O&amp;M'!$E$11:$E$30,0)),0)*J$3</f>
        <v>0</v>
      </c>
      <c r="K21" s="72">
        <f>_xlfn.IFNA(INDEX('O&amp;M'!$F$11:$F$30,MATCH('Intermediate Calcs'!K$2,'O&amp;M'!$E$11:$E$30,0)),0)*K$3</f>
        <v>0</v>
      </c>
      <c r="L21" s="72">
        <f>_xlfn.IFNA(INDEX('O&amp;M'!$F$11:$F$30,MATCH('Intermediate Calcs'!L$2,'O&amp;M'!$E$11:$E$30,0)),0)*L$3</f>
        <v>0</v>
      </c>
      <c r="M21" s="72">
        <f>_xlfn.IFNA(INDEX('O&amp;M'!$F$11:$F$30,MATCH('Intermediate Calcs'!M$2,'O&amp;M'!$E$11:$E$30,0)),0)*M$3</f>
        <v>0</v>
      </c>
      <c r="N21" s="72">
        <f>_xlfn.IFNA(INDEX('O&amp;M'!$F$11:$F$30,MATCH('Intermediate Calcs'!N$2,'O&amp;M'!$E$11:$E$30,0)),0)*N$3</f>
        <v>0</v>
      </c>
      <c r="O21" s="72">
        <f>_xlfn.IFNA(INDEX('O&amp;M'!$F$11:$F$30,MATCH('Intermediate Calcs'!O$2,'O&amp;M'!$E$11:$E$30,0)),0)*O$3</f>
        <v>0</v>
      </c>
      <c r="P21" s="72">
        <f>_xlfn.IFNA(INDEX('O&amp;M'!$F$11:$F$30,MATCH('Intermediate Calcs'!P$2,'O&amp;M'!$E$11:$E$30,0)),0)*P$3</f>
        <v>29320.047169811318</v>
      </c>
      <c r="Q21" s="72">
        <f>_xlfn.IFNA(INDEX('O&amp;M'!$F$11:$F$30,MATCH('Intermediate Calcs'!Q$2,'O&amp;M'!$E$11:$E$30,0)),0)*Q$3</f>
        <v>39093.39622641509</v>
      </c>
      <c r="R21" s="72">
        <f>_xlfn.IFNA(INDEX('O&amp;M'!$F$11:$F$30,MATCH('Intermediate Calcs'!R$2,'O&amp;M'!$E$11:$E$30,0)),0)*R$3</f>
        <v>39093.39622641509</v>
      </c>
      <c r="S21" s="72">
        <f>_xlfn.IFNA(INDEX('O&amp;M'!$F$11:$F$30,MATCH('Intermediate Calcs'!S$2,'O&amp;M'!$E$11:$E$30,0)),0)*S$3</f>
        <v>39093.39622641509</v>
      </c>
      <c r="T21" s="72">
        <f>_xlfn.IFNA(INDEX('O&amp;M'!$F$11:$F$30,MATCH('Intermediate Calcs'!T$2,'O&amp;M'!$E$11:$E$30,0)),0)*T$3</f>
        <v>39093.39622641509</v>
      </c>
      <c r="U21" s="72">
        <f>_xlfn.IFNA(INDEX('O&amp;M'!$F$11:$F$30,MATCH('Intermediate Calcs'!U$2,'O&amp;M'!$E$11:$E$30,0)),0)*U$3</f>
        <v>39093.39622641509</v>
      </c>
      <c r="V21" s="72">
        <f>_xlfn.IFNA(INDEX('O&amp;M'!$F$11:$F$30,MATCH('Intermediate Calcs'!V$2,'O&amp;M'!$E$11:$E$30,0)),0)*V$3</f>
        <v>39093.39622641509</v>
      </c>
      <c r="W21" s="72">
        <f>_xlfn.IFNA(INDEX('O&amp;M'!$F$11:$F$30,MATCH('Intermediate Calcs'!W$2,'O&amp;M'!$E$11:$E$30,0)),0)*W$3</f>
        <v>39093.39622641509</v>
      </c>
      <c r="X21" s="72">
        <f>_xlfn.IFNA(INDEX('O&amp;M'!$F$11:$F$30,MATCH('Intermediate Calcs'!X$2,'O&amp;M'!$E$11:$E$30,0)),0)*X$3</f>
        <v>39093.39622641509</v>
      </c>
      <c r="Y21" s="72">
        <f>_xlfn.IFNA(INDEX('O&amp;M'!$F$11:$F$30,MATCH('Intermediate Calcs'!Y$2,'O&amp;M'!$E$11:$E$30,0)),0)*Y$3</f>
        <v>39093.39622641509</v>
      </c>
      <c r="Z21" s="72">
        <f>_xlfn.IFNA(INDEX('O&amp;M'!$F$11:$F$30,MATCH('Intermediate Calcs'!Z$2,'O&amp;M'!$E$11:$E$30,0)),0)*Z$3</f>
        <v>39093.39622641509</v>
      </c>
      <c r="AA21" s="72">
        <f>_xlfn.IFNA(INDEX('O&amp;M'!$F$11:$F$30,MATCH('Intermediate Calcs'!AA$2,'O&amp;M'!$E$11:$E$30,0)),0)*AA$3</f>
        <v>39093.39622641509</v>
      </c>
      <c r="AB21" s="72">
        <f>_xlfn.IFNA(INDEX('O&amp;M'!$F$11:$F$30,MATCH('Intermediate Calcs'!AB$2,'O&amp;M'!$E$11:$E$30,0)),0)*AB$3</f>
        <v>39093.39622641509</v>
      </c>
      <c r="AC21" s="72">
        <f>_xlfn.IFNA(INDEX('O&amp;M'!$F$11:$F$30,MATCH('Intermediate Calcs'!AC$2,'O&amp;M'!$E$11:$E$30,0)),0)*AC$3</f>
        <v>39093.39622641509</v>
      </c>
      <c r="AD21" s="72">
        <f>_xlfn.IFNA(INDEX('O&amp;M'!$F$11:$F$30,MATCH('Intermediate Calcs'!AD$2,'O&amp;M'!$E$11:$E$30,0)),0)*AD$3</f>
        <v>39093.39622641509</v>
      </c>
      <c r="AE21" s="72">
        <f>_xlfn.IFNA(INDEX('O&amp;M'!$F$11:$F$30,MATCH('Intermediate Calcs'!AE$2,'O&amp;M'!$E$11:$E$30,0)),0)*AE$3</f>
        <v>39093.39622641509</v>
      </c>
      <c r="AF21" s="72">
        <f>_xlfn.IFNA(INDEX('O&amp;M'!$F$11:$F$30,MATCH('Intermediate Calcs'!AF$2,'O&amp;M'!$E$11:$E$30,0)),0)*AF$3</f>
        <v>39093.39622641509</v>
      </c>
      <c r="AG21" s="72">
        <f>_xlfn.IFNA(INDEX('O&amp;M'!$F$11:$F$30,MATCH('Intermediate Calcs'!AG$2,'O&amp;M'!$E$11:$E$30,0)),0)*AG$3</f>
        <v>39093.39622641509</v>
      </c>
      <c r="AH21" s="72">
        <f>_xlfn.IFNA(INDEX('O&amp;M'!$F$11:$F$30,MATCH('Intermediate Calcs'!AH$2,'O&amp;M'!$E$11:$E$30,0)),0)*AH$3</f>
        <v>39093.39622641509</v>
      </c>
      <c r="AI21" s="72">
        <f>_xlfn.IFNA(INDEX('O&amp;M'!$F$11:$F$30,MATCH('Intermediate Calcs'!AI$2,'O&amp;M'!$E$11:$E$30,0)),0)*AI$3</f>
        <v>39093.39622641509</v>
      </c>
      <c r="AJ21" s="72">
        <f>_xlfn.IFNA(INDEX('O&amp;M'!$F$11:$F$30,MATCH('Intermediate Calcs'!AJ$2,'O&amp;M'!$E$11:$E$30,0)),0)*AJ$3</f>
        <v>0</v>
      </c>
      <c r="AK21" s="72">
        <f>_xlfn.IFNA(INDEX('O&amp;M'!$F$11:$F$30,MATCH('Intermediate Calcs'!AK$2,'O&amp;M'!$E$11:$E$30,0)),0)*AK$3</f>
        <v>0</v>
      </c>
      <c r="AL21" s="72">
        <f>_xlfn.IFNA(INDEX('O&amp;M'!$F$11:$F$30,MATCH('Intermediate Calcs'!AL$2,'O&amp;M'!$E$11:$E$30,0)),0)*AL$3</f>
        <v>0</v>
      </c>
      <c r="AM21" s="72">
        <f>_xlfn.IFNA(INDEX('O&amp;M'!$F$11:$F$30,MATCH('Intermediate Calcs'!AM$2,'O&amp;M'!$E$11:$E$30,0)),0)*AM$3</f>
        <v>0</v>
      </c>
      <c r="AN21" s="72">
        <f>_xlfn.IFNA(INDEX('O&amp;M'!$F$11:$F$30,MATCH('Intermediate Calcs'!AN$2,'O&amp;M'!$E$11:$E$30,0)),0)*AN$3</f>
        <v>0</v>
      </c>
      <c r="AO21" s="72">
        <f>_xlfn.IFNA(INDEX('O&amp;M'!$F$11:$F$30,MATCH('Intermediate Calcs'!AO$2,'O&amp;M'!$E$11:$E$30,0)),0)*AO$3</f>
        <v>0</v>
      </c>
      <c r="AP21" s="72">
        <f>_xlfn.IFNA(INDEX('O&amp;M'!$F$11:$F$30,MATCH('Intermediate Calcs'!AP$2,'O&amp;M'!$E$11:$E$30,0)),0)*AP$3</f>
        <v>0</v>
      </c>
      <c r="AQ21" s="72">
        <f>_xlfn.IFNA(INDEX('O&amp;M'!$F$11:$F$30,MATCH('Intermediate Calcs'!AQ$2,'O&amp;M'!$E$11:$E$30,0)),0)*AQ$3</f>
        <v>0</v>
      </c>
      <c r="AR21" s="72">
        <f>_xlfn.IFNA(INDEX('O&amp;M'!$F$11:$F$30,MATCH('Intermediate Calcs'!AR$2,'O&amp;M'!$E$11:$E$30,0)),0)*AR$3</f>
        <v>0</v>
      </c>
      <c r="AS21" s="72">
        <f>_xlfn.IFNA(INDEX('O&amp;M'!$F$11:$F$30,MATCH('Intermediate Calcs'!AS$2,'O&amp;M'!$E$11:$E$30,0)),0)*AS$3</f>
        <v>0</v>
      </c>
      <c r="AT21" s="72">
        <f>_xlfn.IFNA(INDEX('O&amp;M'!$F$11:$F$30,MATCH('Intermediate Calcs'!AT$2,'O&amp;M'!$E$11:$E$30,0)),0)*AT$3</f>
        <v>0</v>
      </c>
      <c r="AU21" s="72">
        <f>_xlfn.IFNA(INDEX('O&amp;M'!$F$11:$F$30,MATCH('Intermediate Calcs'!AU$2,'O&amp;M'!$E$11:$E$30,0)),0)*AU$3</f>
        <v>0</v>
      </c>
      <c r="AV21" s="72">
        <f>_xlfn.IFNA(INDEX('O&amp;M'!$F$11:$F$30,MATCH('Intermediate Calcs'!AV$2,'O&amp;M'!$E$11:$E$30,0)),0)*AV$3</f>
        <v>0</v>
      </c>
      <c r="AW21" s="72">
        <f>_xlfn.IFNA(INDEX('O&amp;M'!$F$11:$F$30,MATCH('Intermediate Calcs'!AW$2,'O&amp;M'!$E$11:$E$30,0)),0)*AW$3</f>
        <v>0</v>
      </c>
      <c r="AX21" s="72">
        <f>_xlfn.IFNA(INDEX('O&amp;M'!$F$11:$F$30,MATCH('Intermediate Calcs'!AX$2,'O&amp;M'!$E$11:$E$30,0)),0)*AX$3</f>
        <v>0</v>
      </c>
      <c r="AY21" s="72">
        <f>_xlfn.IFNA(INDEX('O&amp;M'!$F$11:$F$30,MATCH('Intermediate Calcs'!AY$2,'O&amp;M'!$E$11:$E$30,0)),0)*AY$3</f>
        <v>0</v>
      </c>
      <c r="AZ21" s="72">
        <f>_xlfn.IFNA(INDEX('O&amp;M'!$F$11:$F$30,MATCH('Intermediate Calcs'!AZ$2,'O&amp;M'!$E$11:$E$30,0)),0)*AZ$3</f>
        <v>0</v>
      </c>
      <c r="BA21" s="72">
        <f>_xlfn.IFNA(INDEX('O&amp;M'!$F$11:$F$30,MATCH('Intermediate Calcs'!BA$2,'O&amp;M'!$E$11:$E$30,0)),0)*BA$3</f>
        <v>0</v>
      </c>
      <c r="BB21" s="72">
        <f>_xlfn.IFNA(INDEX('O&amp;M'!$F$11:$F$30,MATCH('Intermediate Calcs'!BB$2,'O&amp;M'!$E$11:$E$30,0)),0)*BB$3</f>
        <v>0</v>
      </c>
    </row>
    <row r="22" spans="1:54">
      <c r="A22" s="20"/>
      <c r="B22" s="13"/>
      <c r="C22" s="13"/>
      <c r="E22" s="12"/>
      <c r="F22" s="21"/>
      <c r="G22" s="21"/>
      <c r="H22" s="62"/>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4">
      <c r="A23" s="20"/>
      <c r="B23" s="13"/>
      <c r="C23" s="13"/>
      <c r="E23" s="12" t="s">
        <v>170</v>
      </c>
      <c r="F23" s="21"/>
      <c r="G23" s="21" t="s">
        <v>168</v>
      </c>
      <c r="H23" s="62">
        <f t="shared" si="3"/>
        <v>-772094.57547169772</v>
      </c>
      <c r="I23" s="66">
        <f>I20-I21</f>
        <v>0</v>
      </c>
      <c r="J23" s="66">
        <f t="shared" ref="J23:BB23" si="4">J20-J21</f>
        <v>0</v>
      </c>
      <c r="K23" s="66">
        <f t="shared" si="4"/>
        <v>0</v>
      </c>
      <c r="L23" s="66">
        <f t="shared" si="4"/>
        <v>0</v>
      </c>
      <c r="M23" s="66">
        <f t="shared" si="4"/>
        <v>0</v>
      </c>
      <c r="N23" s="66">
        <f t="shared" si="4"/>
        <v>0</v>
      </c>
      <c r="O23" s="66">
        <f t="shared" si="4"/>
        <v>0</v>
      </c>
      <c r="P23" s="66">
        <f t="shared" si="4"/>
        <v>-29320.047169811318</v>
      </c>
      <c r="Q23" s="66">
        <f t="shared" si="4"/>
        <v>-39093.39622641509</v>
      </c>
      <c r="R23" s="66">
        <f t="shared" si="4"/>
        <v>-39093.39622641509</v>
      </c>
      <c r="S23" s="66">
        <f t="shared" si="4"/>
        <v>-39093.39622641509</v>
      </c>
      <c r="T23" s="66">
        <f t="shared" si="4"/>
        <v>-39093.39622641509</v>
      </c>
      <c r="U23" s="66">
        <f t="shared" si="4"/>
        <v>-39093.39622641509</v>
      </c>
      <c r="V23" s="66">
        <f t="shared" si="4"/>
        <v>-39093.39622641509</v>
      </c>
      <c r="W23" s="66">
        <f t="shared" si="4"/>
        <v>-39093.39622641509</v>
      </c>
      <c r="X23" s="66">
        <f t="shared" si="4"/>
        <v>-39093.39622641509</v>
      </c>
      <c r="Y23" s="66">
        <f t="shared" si="4"/>
        <v>-39093.39622641509</v>
      </c>
      <c r="Z23" s="66">
        <f t="shared" si="4"/>
        <v>-39093.39622641509</v>
      </c>
      <c r="AA23" s="66">
        <f t="shared" si="4"/>
        <v>-39093.39622641509</v>
      </c>
      <c r="AB23" s="66">
        <f t="shared" si="4"/>
        <v>-39093.39622641509</v>
      </c>
      <c r="AC23" s="66">
        <f t="shared" si="4"/>
        <v>-39093.39622641509</v>
      </c>
      <c r="AD23" s="66">
        <f t="shared" si="4"/>
        <v>-39093.39622641509</v>
      </c>
      <c r="AE23" s="66">
        <f t="shared" si="4"/>
        <v>-39093.39622641509</v>
      </c>
      <c r="AF23" s="66">
        <f t="shared" si="4"/>
        <v>-39093.39622641509</v>
      </c>
      <c r="AG23" s="66">
        <f t="shared" si="4"/>
        <v>-39093.39622641509</v>
      </c>
      <c r="AH23" s="66">
        <f t="shared" si="4"/>
        <v>-39093.39622641509</v>
      </c>
      <c r="AI23" s="66">
        <f t="shared" si="4"/>
        <v>-39093.39622641509</v>
      </c>
      <c r="AJ23" s="66">
        <f t="shared" si="4"/>
        <v>0</v>
      </c>
      <c r="AK23" s="66">
        <f t="shared" si="4"/>
        <v>0</v>
      </c>
      <c r="AL23" s="66">
        <f t="shared" si="4"/>
        <v>0</v>
      </c>
      <c r="AM23" s="66">
        <f t="shared" si="4"/>
        <v>0</v>
      </c>
      <c r="AN23" s="66">
        <f t="shared" si="4"/>
        <v>0</v>
      </c>
      <c r="AO23" s="66">
        <f t="shared" si="4"/>
        <v>0</v>
      </c>
      <c r="AP23" s="66">
        <f t="shared" si="4"/>
        <v>0</v>
      </c>
      <c r="AQ23" s="66">
        <f t="shared" si="4"/>
        <v>0</v>
      </c>
      <c r="AR23" s="66">
        <f t="shared" si="4"/>
        <v>0</v>
      </c>
      <c r="AS23" s="66">
        <f t="shared" si="4"/>
        <v>0</v>
      </c>
      <c r="AT23" s="66">
        <f t="shared" si="4"/>
        <v>0</v>
      </c>
      <c r="AU23" s="66">
        <f t="shared" si="4"/>
        <v>0</v>
      </c>
      <c r="AV23" s="66">
        <f t="shared" si="4"/>
        <v>0</v>
      </c>
      <c r="AW23" s="66">
        <f t="shared" si="4"/>
        <v>0</v>
      </c>
      <c r="AX23" s="66">
        <f t="shared" si="4"/>
        <v>0</v>
      </c>
      <c r="AY23" s="66">
        <f t="shared" si="4"/>
        <v>0</v>
      </c>
      <c r="AZ23" s="66">
        <f t="shared" si="4"/>
        <v>0</v>
      </c>
      <c r="BA23" s="66">
        <f t="shared" si="4"/>
        <v>0</v>
      </c>
      <c r="BB23" s="66">
        <f t="shared" si="4"/>
        <v>0</v>
      </c>
    </row>
    <row r="24" spans="1:54">
      <c r="A24" s="20"/>
      <c r="B24" s="13"/>
      <c r="C24" s="13"/>
      <c r="E24" s="12" t="s">
        <v>171</v>
      </c>
      <c r="F24" s="21"/>
      <c r="G24" s="21" t="s">
        <v>168</v>
      </c>
      <c r="H24" s="62">
        <f t="shared" si="3"/>
        <v>-501635.06437639153</v>
      </c>
      <c r="I24" s="66">
        <f>I23*I$4</f>
        <v>0</v>
      </c>
      <c r="J24" s="66">
        <f t="shared" ref="J24:BB24" si="5">J23*J$4</f>
        <v>0</v>
      </c>
      <c r="K24" s="66">
        <f t="shared" si="5"/>
        <v>0</v>
      </c>
      <c r="L24" s="66">
        <f t="shared" si="5"/>
        <v>0</v>
      </c>
      <c r="M24" s="66">
        <f t="shared" si="5"/>
        <v>0</v>
      </c>
      <c r="N24" s="66">
        <f t="shared" si="5"/>
        <v>0</v>
      </c>
      <c r="O24" s="66">
        <f t="shared" si="5"/>
        <v>0</v>
      </c>
      <c r="P24" s="66">
        <f t="shared" si="5"/>
        <v>-25169.311647386781</v>
      </c>
      <c r="Q24" s="66">
        <f t="shared" si="5"/>
        <v>-32550.031228434247</v>
      </c>
      <c r="R24" s="66">
        <f t="shared" si="5"/>
        <v>-31571.320299160285</v>
      </c>
      <c r="S24" s="66">
        <f t="shared" si="5"/>
        <v>-30622.037147585143</v>
      </c>
      <c r="T24" s="66">
        <f t="shared" si="5"/>
        <v>-29701.296942371628</v>
      </c>
      <c r="U24" s="66">
        <f t="shared" si="5"/>
        <v>-28808.241457198477</v>
      </c>
      <c r="V24" s="66">
        <f t="shared" si="5"/>
        <v>-27942.038270803569</v>
      </c>
      <c r="W24" s="66">
        <f t="shared" si="5"/>
        <v>-27101.879991080084</v>
      </c>
      <c r="X24" s="66">
        <f t="shared" si="5"/>
        <v>-26286.98350250251</v>
      </c>
      <c r="Y24" s="66">
        <f t="shared" si="5"/>
        <v>-25496.589236180906</v>
      </c>
      <c r="Z24" s="66">
        <f t="shared" si="5"/>
        <v>-24729.960461863149</v>
      </c>
      <c r="AA24" s="66">
        <f t="shared" si="5"/>
        <v>-23986.382601225167</v>
      </c>
      <c r="AB24" s="66">
        <f t="shared" si="5"/>
        <v>-23265.162561809084</v>
      </c>
      <c r="AC24" s="66">
        <f t="shared" si="5"/>
        <v>-22565.628090988448</v>
      </c>
      <c r="AD24" s="66">
        <f t="shared" si="5"/>
        <v>-21887.127149358341</v>
      </c>
      <c r="AE24" s="66">
        <f t="shared" si="5"/>
        <v>-21229.027302966384</v>
      </c>
      <c r="AF24" s="66">
        <f t="shared" si="5"/>
        <v>-20590.715133818023</v>
      </c>
      <c r="AG24" s="66">
        <f t="shared" si="5"/>
        <v>-19971.595668106718</v>
      </c>
      <c r="AH24" s="66">
        <f t="shared" si="5"/>
        <v>-19371.091821636001</v>
      </c>
      <c r="AI24" s="66">
        <f t="shared" si="5"/>
        <v>-18788.643861916589</v>
      </c>
      <c r="AJ24" s="66">
        <f t="shared" si="5"/>
        <v>0</v>
      </c>
      <c r="AK24" s="66">
        <f t="shared" si="5"/>
        <v>0</v>
      </c>
      <c r="AL24" s="66">
        <f t="shared" si="5"/>
        <v>0</v>
      </c>
      <c r="AM24" s="66">
        <f t="shared" si="5"/>
        <v>0</v>
      </c>
      <c r="AN24" s="66">
        <f t="shared" si="5"/>
        <v>0</v>
      </c>
      <c r="AO24" s="66">
        <f t="shared" si="5"/>
        <v>0</v>
      </c>
      <c r="AP24" s="66">
        <f t="shared" si="5"/>
        <v>0</v>
      </c>
      <c r="AQ24" s="66">
        <f t="shared" si="5"/>
        <v>0</v>
      </c>
      <c r="AR24" s="66">
        <f t="shared" si="5"/>
        <v>0</v>
      </c>
      <c r="AS24" s="66">
        <f t="shared" si="5"/>
        <v>0</v>
      </c>
      <c r="AT24" s="66">
        <f t="shared" si="5"/>
        <v>0</v>
      </c>
      <c r="AU24" s="66">
        <f t="shared" si="5"/>
        <v>0</v>
      </c>
      <c r="AV24" s="66">
        <f t="shared" si="5"/>
        <v>0</v>
      </c>
      <c r="AW24" s="66">
        <f t="shared" si="5"/>
        <v>0</v>
      </c>
      <c r="AX24" s="66">
        <f t="shared" si="5"/>
        <v>0</v>
      </c>
      <c r="AY24" s="66">
        <f t="shared" si="5"/>
        <v>0</v>
      </c>
      <c r="AZ24" s="66">
        <f t="shared" si="5"/>
        <v>0</v>
      </c>
      <c r="BA24" s="66">
        <f t="shared" si="5"/>
        <v>0</v>
      </c>
      <c r="BB24" s="66">
        <f t="shared" si="5"/>
        <v>0</v>
      </c>
    </row>
    <row r="25" spans="1:54" ht="14.25" customHeight="1">
      <c r="A25" s="20"/>
      <c r="B25" s="13"/>
      <c r="C25" s="13"/>
      <c r="E25" s="12"/>
      <c r="F25" s="21"/>
      <c r="G25" s="21"/>
      <c r="H25" s="62"/>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row>
    <row r="26" spans="1:54" s="79" customFormat="1">
      <c r="A26" s="77"/>
      <c r="B26" s="78"/>
      <c r="C26" s="77" t="s">
        <v>130</v>
      </c>
      <c r="E26" s="82"/>
      <c r="F26" s="80"/>
      <c r="G26" s="80"/>
      <c r="H26" s="83"/>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row>
    <row r="28" spans="1:54">
      <c r="D28" s="12" t="s">
        <v>172</v>
      </c>
      <c r="F28" s="147" t="s">
        <v>41</v>
      </c>
      <c r="G28" s="147" t="s">
        <v>65</v>
      </c>
    </row>
    <row r="29" spans="1:54">
      <c r="E29" s="54" t="s">
        <v>173</v>
      </c>
      <c r="F29" s="86" t="s">
        <v>96</v>
      </c>
      <c r="G29" s="146">
        <f>'Project Assumptions'!G20</f>
        <v>1.86</v>
      </c>
    </row>
    <row r="30" spans="1:54">
      <c r="E30" t="s">
        <v>103</v>
      </c>
      <c r="F30" s="19" t="s">
        <v>81</v>
      </c>
      <c r="G30" s="228">
        <f>'Project Assumptions'!G22</f>
        <v>11</v>
      </c>
    </row>
    <row r="31" spans="1:54">
      <c r="E31" t="s">
        <v>82</v>
      </c>
      <c r="F31" s="19" t="s">
        <v>80</v>
      </c>
      <c r="G31" s="98">
        <f>'Project Assumptions'!G21</f>
        <v>0.1</v>
      </c>
    </row>
    <row r="32" spans="1:54">
      <c r="E32" t="s">
        <v>174</v>
      </c>
      <c r="F32" s="19" t="s">
        <v>106</v>
      </c>
      <c r="G32" s="228">
        <f>'Project Assumptions'!G24</f>
        <v>213</v>
      </c>
      <c r="H32" s="24"/>
    </row>
    <row r="33" spans="1:54">
      <c r="E33" t="s">
        <v>104</v>
      </c>
      <c r="F33" s="19" t="s">
        <v>68</v>
      </c>
      <c r="G33" s="228">
        <f>'Project Assumptions'!G23</f>
        <v>2023</v>
      </c>
    </row>
    <row r="34" spans="1:54">
      <c r="E34" t="s">
        <v>175</v>
      </c>
      <c r="F34" s="19" t="s">
        <v>62</v>
      </c>
      <c r="G34" s="257">
        <f>'Project Assumptions'!G26</f>
        <v>7.0000000000000001E-3</v>
      </c>
      <c r="H34" s="18" t="s">
        <v>176</v>
      </c>
      <c r="N34" s="26"/>
      <c r="O34" s="224"/>
      <c r="P34" s="224"/>
      <c r="Q34" s="224"/>
      <c r="R34" s="224"/>
      <c r="S34" s="224"/>
      <c r="T34" s="224"/>
      <c r="U34" s="224"/>
      <c r="V34" s="224"/>
      <c r="W34" s="224"/>
      <c r="X34" s="224"/>
      <c r="Y34" s="224"/>
      <c r="Z34" s="224"/>
      <c r="AA34" s="224"/>
      <c r="AB34" s="224"/>
      <c r="AC34" s="224"/>
      <c r="AD34" s="224"/>
      <c r="AE34" s="224"/>
      <c r="AF34" s="224"/>
      <c r="AG34" s="224"/>
      <c r="AH34" s="224"/>
    </row>
    <row r="35" spans="1:54">
      <c r="E35" t="s">
        <v>440</v>
      </c>
      <c r="F35" s="19" t="s">
        <v>75</v>
      </c>
      <c r="G35" s="258">
        <f>'Project Assumptions'!G25</f>
        <v>0.6</v>
      </c>
      <c r="H35" s="18" t="s">
        <v>177</v>
      </c>
      <c r="N35" s="26"/>
      <c r="O35" s="224"/>
      <c r="P35" s="224"/>
      <c r="Q35" s="224"/>
      <c r="R35" s="224"/>
      <c r="S35" s="224"/>
      <c r="T35" s="224"/>
      <c r="U35" s="224"/>
      <c r="V35" s="224"/>
      <c r="W35" s="224"/>
      <c r="X35" s="224"/>
      <c r="Y35" s="224"/>
      <c r="Z35" s="224"/>
      <c r="AA35" s="224"/>
      <c r="AB35" s="224"/>
      <c r="AC35" s="224"/>
      <c r="AD35" s="224"/>
      <c r="AE35" s="224"/>
      <c r="AF35" s="224"/>
      <c r="AG35" s="224"/>
      <c r="AH35" s="224"/>
    </row>
    <row r="36" spans="1:54">
      <c r="E36" t="s">
        <v>178</v>
      </c>
      <c r="F36" s="19" t="s">
        <v>75</v>
      </c>
      <c r="G36" s="98">
        <f>'Project Assumptions'!G27</f>
        <v>0.5</v>
      </c>
      <c r="H36" s="18"/>
      <c r="N36" s="26"/>
      <c r="O36" s="224"/>
      <c r="P36" s="224"/>
      <c r="Q36" s="224"/>
      <c r="R36" s="224"/>
      <c r="S36" s="224"/>
      <c r="T36" s="224"/>
      <c r="U36" s="224"/>
      <c r="V36" s="224"/>
      <c r="W36" s="224"/>
      <c r="X36" s="224"/>
      <c r="Y36" s="224"/>
      <c r="Z36" s="224"/>
      <c r="AA36" s="224"/>
      <c r="AB36" s="224"/>
      <c r="AC36" s="224"/>
      <c r="AD36" s="224"/>
      <c r="AE36" s="224"/>
      <c r="AF36" s="224"/>
      <c r="AG36" s="224"/>
      <c r="AH36" s="224"/>
    </row>
    <row r="37" spans="1:54">
      <c r="I37" s="87"/>
      <c r="N37" s="26"/>
      <c r="O37" s="224"/>
      <c r="P37" s="224"/>
      <c r="Q37" s="224"/>
      <c r="R37" s="224"/>
      <c r="S37" s="224"/>
      <c r="T37" s="224"/>
      <c r="U37" s="224"/>
      <c r="V37" s="224"/>
      <c r="W37" s="224"/>
      <c r="X37" s="224"/>
      <c r="Y37" s="224"/>
      <c r="Z37" s="224"/>
      <c r="AA37" s="224"/>
      <c r="AB37" s="224"/>
      <c r="AC37" s="224"/>
      <c r="AD37" s="224"/>
      <c r="AE37" s="224"/>
      <c r="AF37" s="224"/>
      <c r="AG37" s="224"/>
      <c r="AH37" s="224"/>
    </row>
    <row r="38" spans="1:54">
      <c r="D38" s="12" t="s">
        <v>179</v>
      </c>
    </row>
    <row r="39" spans="1:54" s="87" customFormat="1">
      <c r="D39" s="226"/>
      <c r="E39" t="s">
        <v>180</v>
      </c>
      <c r="F39" s="227"/>
      <c r="G39" s="19" t="s">
        <v>181</v>
      </c>
      <c r="H39" s="87">
        <f>SUM(I39:BB39)</f>
        <v>1666690.0167344529</v>
      </c>
      <c r="I39" s="87">
        <f t="shared" ref="I39:BB39" si="6">$G$32*annual_factor*((1+$G$34)^(I$2-$G$33))*I$3</f>
        <v>0</v>
      </c>
      <c r="J39" s="87">
        <f t="shared" si="6"/>
        <v>0</v>
      </c>
      <c r="K39" s="87">
        <f t="shared" si="6"/>
        <v>0</v>
      </c>
      <c r="L39" s="87">
        <f t="shared" si="6"/>
        <v>0</v>
      </c>
      <c r="M39" s="87">
        <f t="shared" si="6"/>
        <v>0</v>
      </c>
      <c r="N39" s="87">
        <f t="shared" si="6"/>
        <v>0</v>
      </c>
      <c r="O39" s="87">
        <f t="shared" si="6"/>
        <v>0</v>
      </c>
      <c r="P39" s="87">
        <f t="shared" si="6"/>
        <v>59137.266981801477</v>
      </c>
      <c r="Q39" s="87">
        <f t="shared" si="6"/>
        <v>79401.637134232122</v>
      </c>
      <c r="R39" s="87">
        <f t="shared" si="6"/>
        <v>79957.448594171728</v>
      </c>
      <c r="S39" s="87">
        <f t="shared" si="6"/>
        <v>80517.15073433092</v>
      </c>
      <c r="T39" s="87">
        <f t="shared" si="6"/>
        <v>81080.770789471237</v>
      </c>
      <c r="U39" s="87">
        <f t="shared" si="6"/>
        <v>81648.336184997519</v>
      </c>
      <c r="V39" s="87">
        <f t="shared" si="6"/>
        <v>82219.874538292497</v>
      </c>
      <c r="W39" s="87">
        <f t="shared" si="6"/>
        <v>82795.413660060527</v>
      </c>
      <c r="X39" s="87">
        <f t="shared" si="6"/>
        <v>83374.981555680948</v>
      </c>
      <c r="Y39" s="87">
        <f t="shared" si="6"/>
        <v>83958.60642657071</v>
      </c>
      <c r="Z39" s="87">
        <f t="shared" si="6"/>
        <v>84546.316671556691</v>
      </c>
      <c r="AA39" s="87">
        <f t="shared" si="6"/>
        <v>85138.140888257563</v>
      </c>
      <c r="AB39" s="87">
        <f t="shared" si="6"/>
        <v>85734.107874475361</v>
      </c>
      <c r="AC39" s="87">
        <f t="shared" si="6"/>
        <v>86334.246629596688</v>
      </c>
      <c r="AD39" s="87">
        <f t="shared" si="6"/>
        <v>86938.586356003842</v>
      </c>
      <c r="AE39" s="87">
        <f t="shared" si="6"/>
        <v>87547.156460495855</v>
      </c>
      <c r="AF39" s="87">
        <f t="shared" si="6"/>
        <v>88159.986555719326</v>
      </c>
      <c r="AG39" s="87">
        <f t="shared" si="6"/>
        <v>88777.106461609364</v>
      </c>
      <c r="AH39" s="87">
        <f t="shared" si="6"/>
        <v>89398.54620684062</v>
      </c>
      <c r="AI39" s="87">
        <f t="shared" si="6"/>
        <v>90024.336030288468</v>
      </c>
      <c r="AJ39" s="87">
        <f t="shared" si="6"/>
        <v>0</v>
      </c>
      <c r="AK39" s="87">
        <f t="shared" si="6"/>
        <v>0</v>
      </c>
      <c r="AL39" s="87">
        <f t="shared" si="6"/>
        <v>0</v>
      </c>
      <c r="AM39" s="87">
        <f t="shared" si="6"/>
        <v>0</v>
      </c>
      <c r="AN39" s="87">
        <f t="shared" si="6"/>
        <v>0</v>
      </c>
      <c r="AO39" s="87">
        <f t="shared" si="6"/>
        <v>0</v>
      </c>
      <c r="AP39" s="87">
        <f t="shared" si="6"/>
        <v>0</v>
      </c>
      <c r="AQ39" s="87">
        <f t="shared" si="6"/>
        <v>0</v>
      </c>
      <c r="AR39" s="87">
        <f t="shared" si="6"/>
        <v>0</v>
      </c>
      <c r="AS39" s="87">
        <f t="shared" si="6"/>
        <v>0</v>
      </c>
      <c r="AT39" s="87">
        <f t="shared" si="6"/>
        <v>0</v>
      </c>
      <c r="AU39" s="87">
        <f t="shared" si="6"/>
        <v>0</v>
      </c>
      <c r="AV39" s="87">
        <f t="shared" si="6"/>
        <v>0</v>
      </c>
      <c r="AW39" s="87">
        <f t="shared" si="6"/>
        <v>0</v>
      </c>
      <c r="AX39" s="87">
        <f t="shared" si="6"/>
        <v>0</v>
      </c>
      <c r="AY39" s="87">
        <f t="shared" si="6"/>
        <v>0</v>
      </c>
      <c r="AZ39" s="87">
        <f t="shared" si="6"/>
        <v>0</v>
      </c>
      <c r="BA39" s="87">
        <f t="shared" si="6"/>
        <v>0</v>
      </c>
      <c r="BB39" s="87">
        <f t="shared" si="6"/>
        <v>0</v>
      </c>
    </row>
    <row r="40" spans="1:54">
      <c r="D40" s="12"/>
      <c r="E40" t="s">
        <v>182</v>
      </c>
      <c r="G40" s="19" t="s">
        <v>181</v>
      </c>
      <c r="H40" s="213">
        <f>SUM(I40:BB40)</f>
        <v>1000014.010040672</v>
      </c>
      <c r="I40" s="87">
        <f>I39*$G$35</f>
        <v>0</v>
      </c>
      <c r="J40" s="87">
        <f t="shared" ref="J40:BB40" si="7">J39*$G$35</f>
        <v>0</v>
      </c>
      <c r="K40" s="87">
        <f t="shared" si="7"/>
        <v>0</v>
      </c>
      <c r="L40" s="87">
        <f t="shared" si="7"/>
        <v>0</v>
      </c>
      <c r="M40" s="87">
        <f t="shared" si="7"/>
        <v>0</v>
      </c>
      <c r="N40" s="87">
        <f t="shared" si="7"/>
        <v>0</v>
      </c>
      <c r="O40" s="87">
        <f t="shared" si="7"/>
        <v>0</v>
      </c>
      <c r="P40" s="87">
        <f t="shared" si="7"/>
        <v>35482.360189080886</v>
      </c>
      <c r="Q40" s="87">
        <f t="shared" si="7"/>
        <v>47640.982280539269</v>
      </c>
      <c r="R40" s="87">
        <f t="shared" si="7"/>
        <v>47974.469156503037</v>
      </c>
      <c r="S40" s="87">
        <f t="shared" si="7"/>
        <v>48310.290440598554</v>
      </c>
      <c r="T40" s="87">
        <f t="shared" si="7"/>
        <v>48648.462473682739</v>
      </c>
      <c r="U40" s="87">
        <f t="shared" si="7"/>
        <v>48989.001710998513</v>
      </c>
      <c r="V40" s="87">
        <f t="shared" si="7"/>
        <v>49331.924722975498</v>
      </c>
      <c r="W40" s="87">
        <f t="shared" si="7"/>
        <v>49677.248196036315</v>
      </c>
      <c r="X40" s="87">
        <f t="shared" si="7"/>
        <v>50024.988933408567</v>
      </c>
      <c r="Y40" s="87">
        <f t="shared" si="7"/>
        <v>50375.163855942425</v>
      </c>
      <c r="Z40" s="87">
        <f t="shared" si="7"/>
        <v>50727.790002934016</v>
      </c>
      <c r="AA40" s="87">
        <f t="shared" si="7"/>
        <v>51082.884532954537</v>
      </c>
      <c r="AB40" s="87">
        <f t="shared" si="7"/>
        <v>51440.464724685218</v>
      </c>
      <c r="AC40" s="87">
        <f t="shared" si="7"/>
        <v>51800.547977758011</v>
      </c>
      <c r="AD40" s="87">
        <f t="shared" si="7"/>
        <v>52163.151813602301</v>
      </c>
      <c r="AE40" s="87">
        <f t="shared" si="7"/>
        <v>52528.29387629751</v>
      </c>
      <c r="AF40" s="87">
        <f t="shared" si="7"/>
        <v>52895.991933431593</v>
      </c>
      <c r="AG40" s="87">
        <f t="shared" si="7"/>
        <v>53266.263876965619</v>
      </c>
      <c r="AH40" s="87">
        <f t="shared" si="7"/>
        <v>53639.127724104372</v>
      </c>
      <c r="AI40" s="87">
        <f t="shared" si="7"/>
        <v>54014.601618173081</v>
      </c>
      <c r="AJ40" s="87">
        <f t="shared" si="7"/>
        <v>0</v>
      </c>
      <c r="AK40" s="87">
        <f t="shared" si="7"/>
        <v>0</v>
      </c>
      <c r="AL40" s="87">
        <f t="shared" si="7"/>
        <v>0</v>
      </c>
      <c r="AM40" s="87">
        <f t="shared" si="7"/>
        <v>0</v>
      </c>
      <c r="AN40" s="87">
        <f t="shared" si="7"/>
        <v>0</v>
      </c>
      <c r="AO40" s="87">
        <f t="shared" si="7"/>
        <v>0</v>
      </c>
      <c r="AP40" s="87">
        <f t="shared" si="7"/>
        <v>0</v>
      </c>
      <c r="AQ40" s="87">
        <f t="shared" si="7"/>
        <v>0</v>
      </c>
      <c r="AR40" s="87">
        <f t="shared" si="7"/>
        <v>0</v>
      </c>
      <c r="AS40" s="87">
        <f t="shared" si="7"/>
        <v>0</v>
      </c>
      <c r="AT40" s="87">
        <f t="shared" si="7"/>
        <v>0</v>
      </c>
      <c r="AU40" s="87">
        <f t="shared" si="7"/>
        <v>0</v>
      </c>
      <c r="AV40" s="87">
        <f t="shared" si="7"/>
        <v>0</v>
      </c>
      <c r="AW40" s="87">
        <f t="shared" si="7"/>
        <v>0</v>
      </c>
      <c r="AX40" s="87">
        <f t="shared" si="7"/>
        <v>0</v>
      </c>
      <c r="AY40" s="87">
        <f t="shared" si="7"/>
        <v>0</v>
      </c>
      <c r="AZ40" s="87">
        <f t="shared" si="7"/>
        <v>0</v>
      </c>
      <c r="BA40" s="87">
        <f t="shared" si="7"/>
        <v>0</v>
      </c>
      <c r="BB40" s="87">
        <f t="shared" si="7"/>
        <v>0</v>
      </c>
    </row>
    <row r="41" spans="1:54">
      <c r="D41" s="12"/>
      <c r="G41" s="19"/>
      <c r="H41" s="213"/>
      <c r="I41" s="213"/>
      <c r="J41" s="213"/>
      <c r="K41" s="213"/>
      <c r="L41" s="213"/>
      <c r="M41" s="213"/>
      <c r="N41" s="213"/>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13"/>
      <c r="BB41" s="213"/>
    </row>
    <row r="42" spans="1:54">
      <c r="E42" t="s">
        <v>183</v>
      </c>
      <c r="G42" s="19" t="s">
        <v>184</v>
      </c>
      <c r="H42" s="84">
        <f>SUM(I42:BB42)</f>
        <v>166669.00167344537</v>
      </c>
      <c r="I42" s="87">
        <f>I39*$G$31</f>
        <v>0</v>
      </c>
      <c r="J42" s="87">
        <f t="shared" ref="J42:BB42" si="8">J39*$G$31</f>
        <v>0</v>
      </c>
      <c r="K42" s="87">
        <f t="shared" si="8"/>
        <v>0</v>
      </c>
      <c r="L42" s="87">
        <f t="shared" si="8"/>
        <v>0</v>
      </c>
      <c r="M42" s="87">
        <f t="shared" si="8"/>
        <v>0</v>
      </c>
      <c r="N42" s="87">
        <f t="shared" si="8"/>
        <v>0</v>
      </c>
      <c r="O42" s="87">
        <f t="shared" si="8"/>
        <v>0</v>
      </c>
      <c r="P42" s="87">
        <f t="shared" si="8"/>
        <v>5913.7266981801477</v>
      </c>
      <c r="Q42" s="87">
        <f t="shared" si="8"/>
        <v>7940.1637134232124</v>
      </c>
      <c r="R42" s="87">
        <f t="shared" si="8"/>
        <v>7995.7448594171728</v>
      </c>
      <c r="S42" s="87">
        <f t="shared" si="8"/>
        <v>8051.7150734330926</v>
      </c>
      <c r="T42" s="87">
        <f t="shared" si="8"/>
        <v>8108.0770789471244</v>
      </c>
      <c r="U42" s="87">
        <f t="shared" si="8"/>
        <v>8164.8336184997524</v>
      </c>
      <c r="V42" s="87">
        <f t="shared" si="8"/>
        <v>8221.9874538292497</v>
      </c>
      <c r="W42" s="87">
        <f t="shared" si="8"/>
        <v>8279.5413660060531</v>
      </c>
      <c r="X42" s="87">
        <f t="shared" si="8"/>
        <v>8337.4981555680952</v>
      </c>
      <c r="Y42" s="87">
        <f t="shared" si="8"/>
        <v>8395.8606426570714</v>
      </c>
      <c r="Z42" s="87">
        <f t="shared" si="8"/>
        <v>8454.6316671556688</v>
      </c>
      <c r="AA42" s="87">
        <f t="shared" si="8"/>
        <v>8513.8140888257567</v>
      </c>
      <c r="AB42" s="87">
        <f t="shared" si="8"/>
        <v>8573.4107874475358</v>
      </c>
      <c r="AC42" s="87">
        <f t="shared" si="8"/>
        <v>8633.4246629596691</v>
      </c>
      <c r="AD42" s="87">
        <f t="shared" si="8"/>
        <v>8693.8586356003852</v>
      </c>
      <c r="AE42" s="87">
        <f t="shared" si="8"/>
        <v>8754.7156460495862</v>
      </c>
      <c r="AF42" s="87">
        <f t="shared" si="8"/>
        <v>8815.9986555719333</v>
      </c>
      <c r="AG42" s="87">
        <f t="shared" si="8"/>
        <v>8877.7106461609364</v>
      </c>
      <c r="AH42" s="87">
        <f t="shared" si="8"/>
        <v>8939.854620684062</v>
      </c>
      <c r="AI42" s="87">
        <f t="shared" si="8"/>
        <v>9002.4336030288468</v>
      </c>
      <c r="AJ42" s="87">
        <f t="shared" si="8"/>
        <v>0</v>
      </c>
      <c r="AK42" s="87">
        <f t="shared" si="8"/>
        <v>0</v>
      </c>
      <c r="AL42" s="87">
        <f t="shared" si="8"/>
        <v>0</v>
      </c>
      <c r="AM42" s="87">
        <f t="shared" si="8"/>
        <v>0</v>
      </c>
      <c r="AN42" s="87">
        <f t="shared" si="8"/>
        <v>0</v>
      </c>
      <c r="AO42" s="87">
        <f t="shared" si="8"/>
        <v>0</v>
      </c>
      <c r="AP42" s="87">
        <f t="shared" si="8"/>
        <v>0</v>
      </c>
      <c r="AQ42" s="87">
        <f t="shared" si="8"/>
        <v>0</v>
      </c>
      <c r="AR42" s="87">
        <f t="shared" si="8"/>
        <v>0</v>
      </c>
      <c r="AS42" s="87">
        <f t="shared" si="8"/>
        <v>0</v>
      </c>
      <c r="AT42" s="87">
        <f t="shared" si="8"/>
        <v>0</v>
      </c>
      <c r="AU42" s="87">
        <f t="shared" si="8"/>
        <v>0</v>
      </c>
      <c r="AV42" s="87">
        <f t="shared" si="8"/>
        <v>0</v>
      </c>
      <c r="AW42" s="87">
        <f t="shared" si="8"/>
        <v>0</v>
      </c>
      <c r="AX42" s="87">
        <f t="shared" si="8"/>
        <v>0</v>
      </c>
      <c r="AY42" s="87">
        <f t="shared" si="8"/>
        <v>0</v>
      </c>
      <c r="AZ42" s="87">
        <f t="shared" si="8"/>
        <v>0</v>
      </c>
      <c r="BA42" s="87">
        <f t="shared" si="8"/>
        <v>0</v>
      </c>
      <c r="BB42" s="87">
        <f t="shared" si="8"/>
        <v>0</v>
      </c>
    </row>
    <row r="43" spans="1:54">
      <c r="E43" t="s">
        <v>185</v>
      </c>
      <c r="G43" s="19" t="s">
        <v>184</v>
      </c>
      <c r="H43" s="230">
        <f>SUM(I43:BB43)</f>
        <v>100001.40100406721</v>
      </c>
      <c r="I43" s="87">
        <f>I40*$G$31</f>
        <v>0</v>
      </c>
      <c r="J43" s="87">
        <f t="shared" ref="J43:BB43" si="9">J40*$G$31</f>
        <v>0</v>
      </c>
      <c r="K43" s="87">
        <f t="shared" si="9"/>
        <v>0</v>
      </c>
      <c r="L43" s="87">
        <f t="shared" si="9"/>
        <v>0</v>
      </c>
      <c r="M43" s="87">
        <f t="shared" si="9"/>
        <v>0</v>
      </c>
      <c r="N43" s="87">
        <f t="shared" si="9"/>
        <v>0</v>
      </c>
      <c r="O43" s="87">
        <f t="shared" si="9"/>
        <v>0</v>
      </c>
      <c r="P43" s="87">
        <f t="shared" si="9"/>
        <v>3548.2360189080887</v>
      </c>
      <c r="Q43" s="87">
        <f t="shared" si="9"/>
        <v>4764.0982280539274</v>
      </c>
      <c r="R43" s="87">
        <f t="shared" si="9"/>
        <v>4797.4469156503037</v>
      </c>
      <c r="S43" s="87">
        <f t="shared" si="9"/>
        <v>4831.0290440598556</v>
      </c>
      <c r="T43" s="87">
        <f t="shared" si="9"/>
        <v>4864.8462473682739</v>
      </c>
      <c r="U43" s="87">
        <f t="shared" si="9"/>
        <v>4898.9001710998518</v>
      </c>
      <c r="V43" s="87">
        <f t="shared" si="9"/>
        <v>4933.19247229755</v>
      </c>
      <c r="W43" s="87">
        <f t="shared" si="9"/>
        <v>4967.7248196036317</v>
      </c>
      <c r="X43" s="87">
        <f t="shared" si="9"/>
        <v>5002.4988933408567</v>
      </c>
      <c r="Y43" s="87">
        <f t="shared" si="9"/>
        <v>5037.5163855942428</v>
      </c>
      <c r="Z43" s="87">
        <f t="shared" si="9"/>
        <v>5072.7790002934016</v>
      </c>
      <c r="AA43" s="87">
        <f t="shared" si="9"/>
        <v>5108.288453295454</v>
      </c>
      <c r="AB43" s="87">
        <f t="shared" si="9"/>
        <v>5144.0464724685226</v>
      </c>
      <c r="AC43" s="87">
        <f t="shared" si="9"/>
        <v>5180.0547977758015</v>
      </c>
      <c r="AD43" s="87">
        <f t="shared" si="9"/>
        <v>5216.3151813602308</v>
      </c>
      <c r="AE43" s="87">
        <f t="shared" si="9"/>
        <v>5252.8293876297512</v>
      </c>
      <c r="AF43" s="87">
        <f t="shared" si="9"/>
        <v>5289.5991933431596</v>
      </c>
      <c r="AG43" s="87">
        <f t="shared" si="9"/>
        <v>5326.6263876965622</v>
      </c>
      <c r="AH43" s="87">
        <f t="shared" si="9"/>
        <v>5363.9127724104374</v>
      </c>
      <c r="AI43" s="87">
        <f t="shared" si="9"/>
        <v>5401.4601618173083</v>
      </c>
      <c r="AJ43" s="87">
        <f t="shared" si="9"/>
        <v>0</v>
      </c>
      <c r="AK43" s="87">
        <f t="shared" si="9"/>
        <v>0</v>
      </c>
      <c r="AL43" s="87">
        <f t="shared" si="9"/>
        <v>0</v>
      </c>
      <c r="AM43" s="87">
        <f t="shared" si="9"/>
        <v>0</v>
      </c>
      <c r="AN43" s="87">
        <f t="shared" si="9"/>
        <v>0</v>
      </c>
      <c r="AO43" s="87">
        <f t="shared" si="9"/>
        <v>0</v>
      </c>
      <c r="AP43" s="87">
        <f t="shared" si="9"/>
        <v>0</v>
      </c>
      <c r="AQ43" s="87">
        <f t="shared" si="9"/>
        <v>0</v>
      </c>
      <c r="AR43" s="87">
        <f t="shared" si="9"/>
        <v>0</v>
      </c>
      <c r="AS43" s="87">
        <f t="shared" si="9"/>
        <v>0</v>
      </c>
      <c r="AT43" s="87">
        <f t="shared" si="9"/>
        <v>0</v>
      </c>
      <c r="AU43" s="87">
        <f t="shared" si="9"/>
        <v>0</v>
      </c>
      <c r="AV43" s="87">
        <f t="shared" si="9"/>
        <v>0</v>
      </c>
      <c r="AW43" s="87">
        <f t="shared" si="9"/>
        <v>0</v>
      </c>
      <c r="AX43" s="87">
        <f t="shared" si="9"/>
        <v>0</v>
      </c>
      <c r="AY43" s="87">
        <f t="shared" si="9"/>
        <v>0</v>
      </c>
      <c r="AZ43" s="87">
        <f t="shared" si="9"/>
        <v>0</v>
      </c>
      <c r="BA43" s="87">
        <f t="shared" si="9"/>
        <v>0</v>
      </c>
      <c r="BB43" s="87">
        <f t="shared" si="9"/>
        <v>0</v>
      </c>
    </row>
    <row r="44" spans="1:54">
      <c r="G44" s="19"/>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row>
    <row r="45" spans="1:54">
      <c r="E45" t="s">
        <v>186</v>
      </c>
      <c r="G45" s="19" t="s">
        <v>46</v>
      </c>
      <c r="H45" s="62">
        <f>SUM(I45:BB45)</f>
        <v>403005.64604639087</v>
      </c>
      <c r="I45" s="72">
        <f>(I42*$G$29)+(I43*$G$29*$G$36)</f>
        <v>0</v>
      </c>
      <c r="J45" s="72">
        <f>(J42*$G$29)+(J43*$G$29*$G$36)</f>
        <v>0</v>
      </c>
      <c r="K45" s="72">
        <f t="shared" ref="K45:BB45" si="10">(K42*$G$29)+(K43*$G$29*$G$36)</f>
        <v>0</v>
      </c>
      <c r="L45" s="72">
        <f t="shared" si="10"/>
        <v>0</v>
      </c>
      <c r="M45" s="72">
        <f t="shared" si="10"/>
        <v>0</v>
      </c>
      <c r="N45" s="72">
        <f t="shared" si="10"/>
        <v>0</v>
      </c>
      <c r="O45" s="72">
        <f t="shared" si="10"/>
        <v>0</v>
      </c>
      <c r="P45" s="72">
        <f t="shared" si="10"/>
        <v>14299.391156199597</v>
      </c>
      <c r="Q45" s="72">
        <f t="shared" si="10"/>
        <v>19199.315859057329</v>
      </c>
      <c r="R45" s="72">
        <f t="shared" si="10"/>
        <v>19333.711070070724</v>
      </c>
      <c r="S45" s="72">
        <f t="shared" si="10"/>
        <v>19469.047047561216</v>
      </c>
      <c r="T45" s="72">
        <f t="shared" si="10"/>
        <v>19605.330376894148</v>
      </c>
      <c r="U45" s="72">
        <f t="shared" si="10"/>
        <v>19742.567689532403</v>
      </c>
      <c r="V45" s="72">
        <f t="shared" si="10"/>
        <v>19880.765663359125</v>
      </c>
      <c r="W45" s="72">
        <f t="shared" si="10"/>
        <v>20019.931023002639</v>
      </c>
      <c r="X45" s="72">
        <f t="shared" si="10"/>
        <v>20160.070540163655</v>
      </c>
      <c r="Y45" s="72">
        <f t="shared" si="10"/>
        <v>20301.1910339448</v>
      </c>
      <c r="Z45" s="72">
        <f t="shared" si="10"/>
        <v>20443.299371182409</v>
      </c>
      <c r="AA45" s="72">
        <f t="shared" si="10"/>
        <v>20586.402466780681</v>
      </c>
      <c r="AB45" s="72">
        <f t="shared" si="10"/>
        <v>20730.507284048144</v>
      </c>
      <c r="AC45" s="72">
        <f t="shared" si="10"/>
        <v>20875.620835036483</v>
      </c>
      <c r="AD45" s="72">
        <f t="shared" si="10"/>
        <v>21021.750180881732</v>
      </c>
      <c r="AE45" s="72">
        <f t="shared" si="10"/>
        <v>21168.902432147901</v>
      </c>
      <c r="AF45" s="72">
        <f t="shared" si="10"/>
        <v>21317.084749172936</v>
      </c>
      <c r="AG45" s="72">
        <f t="shared" si="10"/>
        <v>21466.304342417145</v>
      </c>
      <c r="AH45" s="72">
        <f t="shared" si="10"/>
        <v>21616.568472814062</v>
      </c>
      <c r="AI45" s="72">
        <f t="shared" si="10"/>
        <v>21767.884452123755</v>
      </c>
      <c r="AJ45" s="72">
        <f t="shared" si="10"/>
        <v>0</v>
      </c>
      <c r="AK45" s="72">
        <f t="shared" si="10"/>
        <v>0</v>
      </c>
      <c r="AL45" s="72">
        <f t="shared" si="10"/>
        <v>0</v>
      </c>
      <c r="AM45" s="72">
        <f t="shared" si="10"/>
        <v>0</v>
      </c>
      <c r="AN45" s="72">
        <f t="shared" si="10"/>
        <v>0</v>
      </c>
      <c r="AO45" s="72">
        <f t="shared" si="10"/>
        <v>0</v>
      </c>
      <c r="AP45" s="72">
        <f t="shared" si="10"/>
        <v>0</v>
      </c>
      <c r="AQ45" s="72">
        <f t="shared" si="10"/>
        <v>0</v>
      </c>
      <c r="AR45" s="72">
        <f t="shared" si="10"/>
        <v>0</v>
      </c>
      <c r="AS45" s="72">
        <f t="shared" si="10"/>
        <v>0</v>
      </c>
      <c r="AT45" s="72">
        <f t="shared" si="10"/>
        <v>0</v>
      </c>
      <c r="AU45" s="72">
        <f t="shared" si="10"/>
        <v>0</v>
      </c>
      <c r="AV45" s="72">
        <f t="shared" si="10"/>
        <v>0</v>
      </c>
      <c r="AW45" s="72">
        <f t="shared" si="10"/>
        <v>0</v>
      </c>
      <c r="AX45" s="72">
        <f t="shared" si="10"/>
        <v>0</v>
      </c>
      <c r="AY45" s="72">
        <f t="shared" si="10"/>
        <v>0</v>
      </c>
      <c r="AZ45" s="72">
        <f t="shared" si="10"/>
        <v>0</v>
      </c>
      <c r="BA45" s="72">
        <f t="shared" si="10"/>
        <v>0</v>
      </c>
      <c r="BB45" s="72">
        <f t="shared" si="10"/>
        <v>0</v>
      </c>
    </row>
    <row r="46" spans="1:54">
      <c r="E46" t="s">
        <v>187</v>
      </c>
      <c r="G46" s="19" t="s">
        <v>46</v>
      </c>
      <c r="H46" s="62">
        <f>SUM(I46:BB46)</f>
        <v>260035.87713335571</v>
      </c>
      <c r="I46" s="72">
        <f t="shared" ref="I46:BB46" si="11">I45*I4</f>
        <v>0</v>
      </c>
      <c r="J46" s="72">
        <f t="shared" si="11"/>
        <v>0</v>
      </c>
      <c r="K46" s="72">
        <f t="shared" si="11"/>
        <v>0</v>
      </c>
      <c r="L46" s="72">
        <f t="shared" si="11"/>
        <v>0</v>
      </c>
      <c r="M46" s="72">
        <f t="shared" si="11"/>
        <v>0</v>
      </c>
      <c r="N46" s="72">
        <f t="shared" si="11"/>
        <v>0</v>
      </c>
      <c r="O46" s="72">
        <f t="shared" si="11"/>
        <v>0</v>
      </c>
      <c r="P46" s="72">
        <f t="shared" si="11"/>
        <v>12275.07685420242</v>
      </c>
      <c r="Q46" s="72">
        <f t="shared" si="11"/>
        <v>15985.777422802248</v>
      </c>
      <c r="R46" s="72">
        <f t="shared" si="11"/>
        <v>15613.654572998896</v>
      </c>
      <c r="S46" s="72">
        <f t="shared" si="11"/>
        <v>15250.194136770015</v>
      </c>
      <c r="T46" s="72">
        <f t="shared" si="11"/>
        <v>14895.19446724288</v>
      </c>
      <c r="U46" s="72">
        <f t="shared" si="11"/>
        <v>14548.458611555361</v>
      </c>
      <c r="V46" s="72">
        <f t="shared" si="11"/>
        <v>14209.794201587049</v>
      </c>
      <c r="W46" s="72">
        <f t="shared" si="11"/>
        <v>13879.013347233906</v>
      </c>
      <c r="X46" s="72">
        <f t="shared" si="11"/>
        <v>13555.932532167355</v>
      </c>
      <c r="Y46" s="72">
        <f t="shared" si="11"/>
        <v>13240.372512019911</v>
      </c>
      <c r="Z46" s="72">
        <f t="shared" si="11"/>
        <v>12932.15821494088</v>
      </c>
      <c r="AA46" s="72">
        <f t="shared" si="11"/>
        <v>12631.118644466986</v>
      </c>
      <c r="AB46" s="72">
        <f t="shared" si="11"/>
        <v>12337.08678465398</v>
      </c>
      <c r="AC46" s="72">
        <f t="shared" si="11"/>
        <v>12049.899507416645</v>
      </c>
      <c r="AD46" s="72">
        <f t="shared" si="11"/>
        <v>11769.397482025761</v>
      </c>
      <c r="AE46" s="72">
        <f t="shared" si="11"/>
        <v>11495.425086711872</v>
      </c>
      <c r="AF46" s="72">
        <f t="shared" si="11"/>
        <v>11227.830322326727</v>
      </c>
      <c r="AG46" s="72">
        <f t="shared" si="11"/>
        <v>10966.464728014564</v>
      </c>
      <c r="AH46" s="72">
        <f t="shared" si="11"/>
        <v>10711.183298846423</v>
      </c>
      <c r="AI46" s="72">
        <f t="shared" si="11"/>
        <v>10461.844405371821</v>
      </c>
      <c r="AJ46" s="72">
        <f t="shared" si="11"/>
        <v>0</v>
      </c>
      <c r="AK46" s="72">
        <f t="shared" si="11"/>
        <v>0</v>
      </c>
      <c r="AL46" s="72">
        <f t="shared" si="11"/>
        <v>0</v>
      </c>
      <c r="AM46" s="72">
        <f t="shared" si="11"/>
        <v>0</v>
      </c>
      <c r="AN46" s="72">
        <f t="shared" si="11"/>
        <v>0</v>
      </c>
      <c r="AO46" s="72">
        <f t="shared" si="11"/>
        <v>0</v>
      </c>
      <c r="AP46" s="72">
        <f t="shared" si="11"/>
        <v>0</v>
      </c>
      <c r="AQ46" s="72">
        <f t="shared" si="11"/>
        <v>0</v>
      </c>
      <c r="AR46" s="72">
        <f t="shared" si="11"/>
        <v>0</v>
      </c>
      <c r="AS46" s="72">
        <f t="shared" si="11"/>
        <v>0</v>
      </c>
      <c r="AT46" s="72">
        <f t="shared" si="11"/>
        <v>0</v>
      </c>
      <c r="AU46" s="72">
        <f t="shared" si="11"/>
        <v>0</v>
      </c>
      <c r="AV46" s="72">
        <f t="shared" si="11"/>
        <v>0</v>
      </c>
      <c r="AW46" s="72">
        <f t="shared" si="11"/>
        <v>0</v>
      </c>
      <c r="AX46" s="72">
        <f t="shared" si="11"/>
        <v>0</v>
      </c>
      <c r="AY46" s="72">
        <f t="shared" si="11"/>
        <v>0</v>
      </c>
      <c r="AZ46" s="72">
        <f t="shared" si="11"/>
        <v>0</v>
      </c>
      <c r="BA46" s="72">
        <f t="shared" si="11"/>
        <v>0</v>
      </c>
      <c r="BB46" s="72">
        <f t="shared" si="11"/>
        <v>0</v>
      </c>
    </row>
    <row r="48" spans="1:54" s="79" customFormat="1">
      <c r="A48" s="77"/>
      <c r="B48" s="78"/>
      <c r="C48" s="77" t="s">
        <v>51</v>
      </c>
      <c r="E48" s="82"/>
      <c r="F48" s="80"/>
      <c r="G48" s="80"/>
      <c r="H48" s="83"/>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row>
    <row r="50" spans="1:54">
      <c r="D50" s="12" t="s">
        <v>188</v>
      </c>
      <c r="F50" s="147" t="s">
        <v>41</v>
      </c>
      <c r="G50" s="147" t="s">
        <v>65</v>
      </c>
    </row>
    <row r="51" spans="1:54">
      <c r="E51" s="54" t="s">
        <v>115</v>
      </c>
      <c r="F51" s="86" t="s">
        <v>116</v>
      </c>
      <c r="G51" s="146">
        <f>'Project Assumptions'!G56</f>
        <v>6.8</v>
      </c>
    </row>
    <row r="52" spans="1:54">
      <c r="E52" s="14" t="s">
        <v>117</v>
      </c>
      <c r="F52" s="19" t="s">
        <v>62</v>
      </c>
      <c r="G52" s="259">
        <f>'Project Assumptions'!G57</f>
        <v>0.59</v>
      </c>
    </row>
    <row r="53" spans="1:54">
      <c r="E53" s="14" t="s">
        <v>118</v>
      </c>
      <c r="F53" s="19" t="s">
        <v>62</v>
      </c>
      <c r="G53" s="259">
        <f>'Project Assumptions'!G58</f>
        <v>0.89</v>
      </c>
    </row>
    <row r="55" spans="1:54">
      <c r="E55" t="s">
        <v>189</v>
      </c>
      <c r="G55" s="19" t="s">
        <v>46</v>
      </c>
      <c r="H55" s="71">
        <f>SUM(I55:BB55)</f>
        <v>3570730.025372027</v>
      </c>
      <c r="I55" s="72">
        <f t="shared" ref="I55:BB55" si="12">I40*$G$52*$G$53*$G$51</f>
        <v>0</v>
      </c>
      <c r="J55" s="72">
        <f t="shared" si="12"/>
        <v>0</v>
      </c>
      <c r="K55" s="72">
        <f t="shared" si="12"/>
        <v>0</v>
      </c>
      <c r="L55" s="72">
        <f t="shared" si="12"/>
        <v>0</v>
      </c>
      <c r="M55" s="72">
        <f t="shared" si="12"/>
        <v>0</v>
      </c>
      <c r="N55" s="72">
        <f t="shared" si="12"/>
        <v>0</v>
      </c>
      <c r="O55" s="72">
        <f t="shared" si="12"/>
        <v>0</v>
      </c>
      <c r="P55" s="72">
        <f t="shared" si="12"/>
        <v>126696.15387994735</v>
      </c>
      <c r="Q55" s="72">
        <f t="shared" si="12"/>
        <v>170110.70260947596</v>
      </c>
      <c r="R55" s="72">
        <f t="shared" si="12"/>
        <v>171301.47752774225</v>
      </c>
      <c r="S55" s="72">
        <f t="shared" si="12"/>
        <v>172500.58787043643</v>
      </c>
      <c r="T55" s="72">
        <f t="shared" si="12"/>
        <v>173708.09198552949</v>
      </c>
      <c r="U55" s="72">
        <f t="shared" si="12"/>
        <v>174924.04862942817</v>
      </c>
      <c r="V55" s="72">
        <f t="shared" si="12"/>
        <v>176148.51696983416</v>
      </c>
      <c r="W55" s="72">
        <f t="shared" si="12"/>
        <v>177381.55658862295</v>
      </c>
      <c r="X55" s="72">
        <f t="shared" si="12"/>
        <v>178623.22748474329</v>
      </c>
      <c r="Y55" s="72">
        <f t="shared" si="12"/>
        <v>179873.59007713647</v>
      </c>
      <c r="Z55" s="72">
        <f t="shared" si="12"/>
        <v>181132.70520767642</v>
      </c>
      <c r="AA55" s="72">
        <f t="shared" si="12"/>
        <v>182400.63414413008</v>
      </c>
      <c r="AB55" s="72">
        <f t="shared" si="12"/>
        <v>183677.43858313901</v>
      </c>
      <c r="AC55" s="72">
        <f t="shared" si="12"/>
        <v>184963.18065322097</v>
      </c>
      <c r="AD55" s="72">
        <f t="shared" si="12"/>
        <v>186257.92291779345</v>
      </c>
      <c r="AE55" s="72">
        <f t="shared" si="12"/>
        <v>187561.72837821799</v>
      </c>
      <c r="AF55" s="72">
        <f t="shared" si="12"/>
        <v>188874.66047686551</v>
      </c>
      <c r="AG55" s="72">
        <f t="shared" si="12"/>
        <v>190196.78310020358</v>
      </c>
      <c r="AH55" s="72">
        <f t="shared" si="12"/>
        <v>191528.16058190499</v>
      </c>
      <c r="AI55" s="72">
        <f t="shared" si="12"/>
        <v>192868.85770597824</v>
      </c>
      <c r="AJ55" s="72">
        <f t="shared" si="12"/>
        <v>0</v>
      </c>
      <c r="AK55" s="72">
        <f t="shared" si="12"/>
        <v>0</v>
      </c>
      <c r="AL55" s="72">
        <f t="shared" si="12"/>
        <v>0</v>
      </c>
      <c r="AM55" s="72">
        <f t="shared" si="12"/>
        <v>0</v>
      </c>
      <c r="AN55" s="72">
        <f t="shared" si="12"/>
        <v>0</v>
      </c>
      <c r="AO55" s="72">
        <f t="shared" si="12"/>
        <v>0</v>
      </c>
      <c r="AP55" s="72">
        <f t="shared" si="12"/>
        <v>0</v>
      </c>
      <c r="AQ55" s="72">
        <f t="shared" si="12"/>
        <v>0</v>
      </c>
      <c r="AR55" s="72">
        <f t="shared" si="12"/>
        <v>0</v>
      </c>
      <c r="AS55" s="72">
        <f t="shared" si="12"/>
        <v>0</v>
      </c>
      <c r="AT55" s="72">
        <f t="shared" si="12"/>
        <v>0</v>
      </c>
      <c r="AU55" s="72">
        <f t="shared" si="12"/>
        <v>0</v>
      </c>
      <c r="AV55" s="72">
        <f t="shared" si="12"/>
        <v>0</v>
      </c>
      <c r="AW55" s="72">
        <f t="shared" si="12"/>
        <v>0</v>
      </c>
      <c r="AX55" s="72">
        <f t="shared" si="12"/>
        <v>0</v>
      </c>
      <c r="AY55" s="72">
        <f t="shared" si="12"/>
        <v>0</v>
      </c>
      <c r="AZ55" s="72">
        <f t="shared" si="12"/>
        <v>0</v>
      </c>
      <c r="BA55" s="72">
        <f t="shared" si="12"/>
        <v>0</v>
      </c>
      <c r="BB55" s="72">
        <f t="shared" si="12"/>
        <v>0</v>
      </c>
    </row>
    <row r="56" spans="1:54">
      <c r="E56" t="s">
        <v>190</v>
      </c>
      <c r="G56" s="19" t="s">
        <v>46</v>
      </c>
      <c r="H56" s="71">
        <f>SUM(I56:BB56)</f>
        <v>2303982.3964330778</v>
      </c>
      <c r="I56" s="72">
        <f t="shared" ref="I56:BB56" si="13">I55*I4</f>
        <v>0</v>
      </c>
      <c r="J56" s="72">
        <f t="shared" si="13"/>
        <v>0</v>
      </c>
      <c r="K56" s="72">
        <f t="shared" si="13"/>
        <v>0</v>
      </c>
      <c r="L56" s="72">
        <f t="shared" si="13"/>
        <v>0</v>
      </c>
      <c r="M56" s="72">
        <f t="shared" si="13"/>
        <v>0</v>
      </c>
      <c r="N56" s="72">
        <f t="shared" si="13"/>
        <v>0</v>
      </c>
      <c r="O56" s="72">
        <f t="shared" si="13"/>
        <v>0</v>
      </c>
      <c r="P56" s="72">
        <f t="shared" si="13"/>
        <v>108760.22685301116</v>
      </c>
      <c r="Q56" s="72">
        <f t="shared" si="13"/>
        <v>141637.95466017746</v>
      </c>
      <c r="R56" s="72">
        <f t="shared" si="13"/>
        <v>138340.85387274364</v>
      </c>
      <c r="S56" s="72">
        <f t="shared" si="13"/>
        <v>135120.50421906193</v>
      </c>
      <c r="T56" s="72">
        <f t="shared" si="13"/>
        <v>131975.11905780347</v>
      </c>
      <c r="U56" s="72">
        <f t="shared" si="13"/>
        <v>128902.9533377382</v>
      </c>
      <c r="V56" s="72">
        <f t="shared" si="13"/>
        <v>125902.30262958523</v>
      </c>
      <c r="W56" s="72">
        <f t="shared" si="13"/>
        <v>122971.50218039988</v>
      </c>
      <c r="X56" s="72">
        <f t="shared" si="13"/>
        <v>120108.9259899735</v>
      </c>
      <c r="Y56" s="72">
        <f t="shared" si="13"/>
        <v>117312.9859087326</v>
      </c>
      <c r="Z56" s="72">
        <f t="shared" si="13"/>
        <v>114582.13075663797</v>
      </c>
      <c r="AA56" s="72">
        <f t="shared" si="13"/>
        <v>111914.84546259395</v>
      </c>
      <c r="AB56" s="72">
        <f t="shared" si="13"/>
        <v>109309.65022389148</v>
      </c>
      <c r="AC56" s="72">
        <f t="shared" si="13"/>
        <v>106765.09968521702</v>
      </c>
      <c r="AD56" s="72">
        <f t="shared" si="13"/>
        <v>104279.78213677353</v>
      </c>
      <c r="AE56" s="72">
        <f t="shared" si="13"/>
        <v>101852.31873106783</v>
      </c>
      <c r="AF56" s="72">
        <f t="shared" si="13"/>
        <v>99481.362717929485</v>
      </c>
      <c r="AG56" s="72">
        <f t="shared" si="13"/>
        <v>97165.598697337555</v>
      </c>
      <c r="AH56" s="72">
        <f t="shared" si="13"/>
        <v>94903.741889640063</v>
      </c>
      <c r="AI56" s="72">
        <f t="shared" si="13"/>
        <v>92694.537422761903</v>
      </c>
      <c r="AJ56" s="72">
        <f t="shared" si="13"/>
        <v>0</v>
      </c>
      <c r="AK56" s="72">
        <f t="shared" si="13"/>
        <v>0</v>
      </c>
      <c r="AL56" s="72">
        <f t="shared" si="13"/>
        <v>0</v>
      </c>
      <c r="AM56" s="72">
        <f t="shared" si="13"/>
        <v>0</v>
      </c>
      <c r="AN56" s="72">
        <f t="shared" si="13"/>
        <v>0</v>
      </c>
      <c r="AO56" s="72">
        <f t="shared" si="13"/>
        <v>0</v>
      </c>
      <c r="AP56" s="72">
        <f t="shared" si="13"/>
        <v>0</v>
      </c>
      <c r="AQ56" s="72">
        <f t="shared" si="13"/>
        <v>0</v>
      </c>
      <c r="AR56" s="72">
        <f t="shared" si="13"/>
        <v>0</v>
      </c>
      <c r="AS56" s="72">
        <f t="shared" si="13"/>
        <v>0</v>
      </c>
      <c r="AT56" s="72">
        <f t="shared" si="13"/>
        <v>0</v>
      </c>
      <c r="AU56" s="72">
        <f t="shared" si="13"/>
        <v>0</v>
      </c>
      <c r="AV56" s="72">
        <f t="shared" si="13"/>
        <v>0</v>
      </c>
      <c r="AW56" s="72">
        <f t="shared" si="13"/>
        <v>0</v>
      </c>
      <c r="AX56" s="72">
        <f t="shared" si="13"/>
        <v>0</v>
      </c>
      <c r="AY56" s="72">
        <f t="shared" si="13"/>
        <v>0</v>
      </c>
      <c r="AZ56" s="72">
        <f t="shared" si="13"/>
        <v>0</v>
      </c>
      <c r="BA56" s="72">
        <f t="shared" si="13"/>
        <v>0</v>
      </c>
      <c r="BB56" s="72">
        <f t="shared" si="13"/>
        <v>0</v>
      </c>
    </row>
    <row r="57" spans="1:54">
      <c r="G57" s="19"/>
      <c r="H57" s="71"/>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row>
    <row r="58" spans="1:54" s="79" customFormat="1">
      <c r="A58" s="77"/>
      <c r="B58" s="78"/>
      <c r="C58" s="77" t="s">
        <v>191</v>
      </c>
      <c r="E58" s="82"/>
      <c r="F58" s="80"/>
      <c r="G58" s="80"/>
      <c r="H58" s="249"/>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row>
    <row r="59" spans="1:54">
      <c r="G59" s="19"/>
      <c r="H59" s="71"/>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row>
    <row r="60" spans="1:54">
      <c r="D60" s="12" t="s">
        <v>192</v>
      </c>
      <c r="E60" s="12"/>
      <c r="F60" s="12"/>
      <c r="G60" s="21"/>
      <c r="H60" s="71"/>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row>
    <row r="61" spans="1:54">
      <c r="D61" s="250" t="s">
        <v>22</v>
      </c>
      <c r="E61" s="251" t="s">
        <v>193</v>
      </c>
      <c r="F61"/>
      <c r="G61" s="19" t="s">
        <v>194</v>
      </c>
      <c r="H61" s="71"/>
      <c r="I61" s="72">
        <f>IFERROR(INDEX(EmissionsValues_Metric[#Data], MATCH(I$2,EmissionsValues_Metric[Emission Type],0),MATCH($D61, EmissionsValues_Metric[#Headers],0)),0)</f>
        <v>0</v>
      </c>
      <c r="J61" s="72">
        <f>IFERROR(INDEX(EmissionsValues_Metric[#Data], MATCH(J$2,EmissionsValues_Metric[Emission Type],0),MATCH($D61, EmissionsValues_Metric[#Headers],0)),0)</f>
        <v>0</v>
      </c>
      <c r="K61" s="72">
        <f>IFERROR(INDEX(EmissionsValues_Metric[#Data], MATCH(K$2,EmissionsValues_Metric[Emission Type],0),MATCH($D61, EmissionsValues_Metric[#Headers],0)),0)</f>
        <v>228</v>
      </c>
      <c r="L61" s="72">
        <f>IFERROR(INDEX(EmissionsValues_Metric[#Data], MATCH(L$2,EmissionsValues_Metric[Emission Type],0),MATCH($D61, EmissionsValues_Metric[#Headers],0)),0)</f>
        <v>228</v>
      </c>
      <c r="M61" s="72">
        <f>IFERROR(INDEX(EmissionsValues_Metric[#Data], MATCH(M$2,EmissionsValues_Metric[Emission Type],0),MATCH($D61, EmissionsValues_Metric[#Headers],0)),0)</f>
        <v>233</v>
      </c>
      <c r="N61" s="72">
        <f>IFERROR(INDEX(EmissionsValues_Metric[#Data], MATCH(N$2,EmissionsValues_Metric[Emission Type],0),MATCH($D61, EmissionsValues_Metric[#Headers],0)),0)</f>
        <v>237</v>
      </c>
      <c r="O61" s="72">
        <f>IFERROR(INDEX(EmissionsValues_Metric[#Data], MATCH(O$2,EmissionsValues_Metric[Emission Type],0),MATCH($D61, EmissionsValues_Metric[#Headers],0)),0)</f>
        <v>241</v>
      </c>
      <c r="P61" s="72">
        <f>IFERROR(INDEX(EmissionsValues_Metric[#Data], MATCH(P$2,EmissionsValues_Metric[Emission Type],0),MATCH($D61, EmissionsValues_Metric[#Headers],0)),0)</f>
        <v>245</v>
      </c>
      <c r="Q61" s="72">
        <f>IFERROR(INDEX(EmissionsValues_Metric[#Data], MATCH(Q$2,EmissionsValues_Metric[Emission Type],0),MATCH($D61, EmissionsValues_Metric[#Headers],0)),0)</f>
        <v>250</v>
      </c>
      <c r="R61" s="72">
        <f>IFERROR(INDEX(EmissionsValues_Metric[#Data], MATCH(R$2,EmissionsValues_Metric[Emission Type],0),MATCH($D61, EmissionsValues_Metric[#Headers],0)),0)</f>
        <v>253</v>
      </c>
      <c r="S61" s="72">
        <f>IFERROR(INDEX(EmissionsValues_Metric[#Data], MATCH(S$2,EmissionsValues_Metric[Emission Type],0),MATCH($D61, EmissionsValues_Metric[#Headers],0)),0)</f>
        <v>257</v>
      </c>
      <c r="T61" s="72">
        <f>IFERROR(INDEX(EmissionsValues_Metric[#Data], MATCH(T$2,EmissionsValues_Metric[Emission Type],0),MATCH($D61, EmissionsValues_Metric[#Headers],0)),0)</f>
        <v>262</v>
      </c>
      <c r="U61" s="72">
        <f>IFERROR(INDEX(EmissionsValues_Metric[#Data], MATCH(U$2,EmissionsValues_Metric[Emission Type],0),MATCH($D61, EmissionsValues_Metric[#Headers],0)),0)</f>
        <v>265</v>
      </c>
      <c r="V61" s="72">
        <f>IFERROR(INDEX(EmissionsValues_Metric[#Data], MATCH(V$2,EmissionsValues_Metric[Emission Type],0),MATCH($D61, EmissionsValues_Metric[#Headers],0)),0)</f>
        <v>270</v>
      </c>
      <c r="W61" s="72">
        <f>IFERROR(INDEX(EmissionsValues_Metric[#Data], MATCH(W$2,EmissionsValues_Metric[Emission Type],0),MATCH($D61, EmissionsValues_Metric[#Headers],0)),0)</f>
        <v>274</v>
      </c>
      <c r="X61" s="72">
        <f>IFERROR(INDEX(EmissionsValues_Metric[#Data], MATCH(X$2,EmissionsValues_Metric[Emission Type],0),MATCH($D61, EmissionsValues_Metric[#Headers],0)),0)</f>
        <v>278</v>
      </c>
      <c r="Y61" s="72">
        <f>IFERROR(INDEX(EmissionsValues_Metric[#Data], MATCH(Y$2,EmissionsValues_Metric[Emission Type],0),MATCH($D61, EmissionsValues_Metric[#Headers],0)),0)</f>
        <v>282</v>
      </c>
      <c r="Z61" s="72">
        <f>IFERROR(INDEX(EmissionsValues_Metric[#Data], MATCH(Z$2,EmissionsValues_Metric[Emission Type],0),MATCH($D61, EmissionsValues_Metric[#Headers],0)),0)</f>
        <v>287</v>
      </c>
      <c r="AA61" s="72">
        <f>IFERROR(INDEX(EmissionsValues_Metric[#Data], MATCH(AA$2,EmissionsValues_Metric[Emission Type],0),MATCH($D61, EmissionsValues_Metric[#Headers],0)),0)</f>
        <v>290</v>
      </c>
      <c r="AB61" s="72">
        <f>IFERROR(INDEX(EmissionsValues_Metric[#Data], MATCH(AB$2,EmissionsValues_Metric[Emission Type],0),MATCH($D61, EmissionsValues_Metric[#Headers],0)),0)</f>
        <v>294</v>
      </c>
      <c r="AC61" s="72">
        <f>IFERROR(INDEX(EmissionsValues_Metric[#Data], MATCH(AC$2,EmissionsValues_Metric[Emission Type],0),MATCH($D61, EmissionsValues_Metric[#Headers],0)),0)</f>
        <v>299</v>
      </c>
      <c r="AD61" s="72">
        <f>IFERROR(INDEX(EmissionsValues_Metric[#Data], MATCH(AD$2,EmissionsValues_Metric[Emission Type],0),MATCH($D61, EmissionsValues_Metric[#Headers],0)),0)</f>
        <v>303</v>
      </c>
      <c r="AE61" s="72">
        <f>IFERROR(INDEX(EmissionsValues_Metric[#Data], MATCH(AE$2,EmissionsValues_Metric[Emission Type],0),MATCH($D61, EmissionsValues_Metric[#Headers],0)),0)</f>
        <v>308</v>
      </c>
      <c r="AF61" s="72">
        <f>IFERROR(INDEX(EmissionsValues_Metric[#Data], MATCH(AF$2,EmissionsValues_Metric[Emission Type],0),MATCH($D61, EmissionsValues_Metric[#Headers],0)),0)</f>
        <v>312</v>
      </c>
      <c r="AG61" s="72">
        <f>IFERROR(INDEX(EmissionsValues_Metric[#Data], MATCH(AG$2,EmissionsValues_Metric[Emission Type],0),MATCH($D61, EmissionsValues_Metric[#Headers],0)),0)</f>
        <v>317</v>
      </c>
      <c r="AH61" s="72">
        <f>IFERROR(INDEX(EmissionsValues_Metric[#Data], MATCH(AH$2,EmissionsValues_Metric[Emission Type],0),MATCH($D61, EmissionsValues_Metric[#Headers],0)),0)</f>
        <v>321</v>
      </c>
      <c r="AI61" s="72">
        <f>IFERROR(INDEX(EmissionsValues_Metric[#Data], MATCH(AI$2,EmissionsValues_Metric[Emission Type],0),MATCH($D61, EmissionsValues_Metric[#Headers],0)),0)</f>
        <v>326</v>
      </c>
      <c r="AJ61" s="72">
        <f>IFERROR(INDEX(EmissionsValues_Metric[#Data], MATCH(AJ$2,EmissionsValues_Metric[Emission Type],0),MATCH($D61, EmissionsValues_Metric[#Headers],0)),0)</f>
        <v>331</v>
      </c>
      <c r="AK61" s="72">
        <f>IFERROR(INDEX(EmissionsValues_Metric[#Data], MATCH(AK$2,EmissionsValues_Metric[Emission Type],0),MATCH($D61, EmissionsValues_Metric[#Headers],0)),0)</f>
        <v>336</v>
      </c>
      <c r="AL61" s="72">
        <f>IFERROR(INDEX(EmissionsValues_Metric[#Data], MATCH(AL$2,EmissionsValues_Metric[Emission Type],0),MATCH($D61, EmissionsValues_Metric[#Headers],0)),0)</f>
        <v>340</v>
      </c>
      <c r="AM61" s="72">
        <f>IFERROR(INDEX(EmissionsValues_Metric[#Data], MATCH(AM$2,EmissionsValues_Metric[Emission Type],0),MATCH($D61, EmissionsValues_Metric[#Headers],0)),0)</f>
        <v>345</v>
      </c>
      <c r="AN61" s="72">
        <f>IFERROR(INDEX(EmissionsValues_Metric[#Data], MATCH(AN$2,EmissionsValues_Metric[Emission Type],0),MATCH($D61, EmissionsValues_Metric[#Headers],0)),0)</f>
        <v>349</v>
      </c>
      <c r="AO61" s="72">
        <f>IFERROR(INDEX(EmissionsValues_Metric[#Data], MATCH(AO$2,EmissionsValues_Metric[Emission Type],0),MATCH($D61, EmissionsValues_Metric[#Headers],0)),0)</f>
        <v>353</v>
      </c>
      <c r="AP61" s="72">
        <f>IFERROR(INDEX(EmissionsValues_Metric[#Data], MATCH(AP$2,EmissionsValues_Metric[Emission Type],0),MATCH($D61, EmissionsValues_Metric[#Headers],0)),0)</f>
        <v>357</v>
      </c>
      <c r="AQ61" s="72">
        <f>IFERROR(INDEX(EmissionsValues_Metric[#Data], MATCH(AQ$2,EmissionsValues_Metric[Emission Type],0),MATCH($D61, EmissionsValues_Metric[#Headers],0)),0)</f>
        <v>357</v>
      </c>
      <c r="AR61" s="72">
        <f>IFERROR(INDEX(EmissionsValues_Metric[#Data], MATCH(AR$2,EmissionsValues_Metric[Emission Type],0),MATCH($D61, EmissionsValues_Metric[#Headers],0)),0)</f>
        <v>357</v>
      </c>
      <c r="AS61" s="72">
        <f>IFERROR(INDEX(EmissionsValues_Metric[#Data], MATCH(AS$2,EmissionsValues_Metric[Emission Type],0),MATCH($D61, EmissionsValues_Metric[#Headers],0)),0)</f>
        <v>357</v>
      </c>
      <c r="AT61" s="72">
        <f>IFERROR(INDEX(EmissionsValues_Metric[#Data], MATCH(AT$2,EmissionsValues_Metric[Emission Type],0),MATCH($D61, EmissionsValues_Metric[#Headers],0)),0)</f>
        <v>357</v>
      </c>
      <c r="AU61" s="72">
        <f>IFERROR(INDEX(EmissionsValues_Metric[#Data], MATCH(AU$2,EmissionsValues_Metric[Emission Type],0),MATCH($D61, EmissionsValues_Metric[#Headers],0)),0)</f>
        <v>357</v>
      </c>
      <c r="AV61" s="72">
        <f>IFERROR(INDEX(EmissionsValues_Metric[#Data], MATCH(AV$2,EmissionsValues_Metric[Emission Type],0),MATCH($D61, EmissionsValues_Metric[#Headers],0)),0)</f>
        <v>357</v>
      </c>
      <c r="AW61" s="72">
        <f>IFERROR(INDEX(EmissionsValues_Metric[#Data], MATCH(AW$2,EmissionsValues_Metric[Emission Type],0),MATCH($D61, EmissionsValues_Metric[#Headers],0)),0)</f>
        <v>357</v>
      </c>
      <c r="AX61" s="72">
        <f>IFERROR(INDEX(EmissionsValues_Metric[#Data], MATCH(AX$2,EmissionsValues_Metric[Emission Type],0),MATCH($D61, EmissionsValues_Metric[#Headers],0)),0)</f>
        <v>357</v>
      </c>
      <c r="AY61" s="72">
        <f>IFERROR(INDEX(EmissionsValues_Metric[#Data], MATCH(AY$2,EmissionsValues_Metric[Emission Type],0),MATCH($D61, EmissionsValues_Metric[#Headers],0)),0)</f>
        <v>357</v>
      </c>
      <c r="AZ61" s="72">
        <f>IFERROR(INDEX(EmissionsValues_Metric[#Data], MATCH(AZ$2,EmissionsValues_Metric[Emission Type],0),MATCH($D61, EmissionsValues_Metric[#Headers],0)),0)</f>
        <v>357</v>
      </c>
      <c r="BA61" s="72">
        <f>IFERROR(INDEX(EmissionsValues_Metric[#Data], MATCH(BA$2,EmissionsValues_Metric[Emission Type],0),MATCH($D61, EmissionsValues_Metric[#Headers],0)),0)</f>
        <v>357</v>
      </c>
      <c r="BB61" s="72">
        <f>IFERROR(INDEX(EmissionsValues_Metric[#Data], MATCH(BB$2,EmissionsValues_Metric[Emission Type],0),MATCH($D61, EmissionsValues_Metric[#Headers],0)),0)</f>
        <v>357</v>
      </c>
    </row>
    <row r="62" spans="1:54">
      <c r="D62" s="250" t="s">
        <v>19</v>
      </c>
      <c r="E62" s="251" t="s">
        <v>195</v>
      </c>
      <c r="F62"/>
      <c r="G62" s="19" t="s">
        <v>194</v>
      </c>
      <c r="H62" s="71"/>
      <c r="I62" s="72">
        <f>IFERROR(INDEX(EmissionsValues_Metric[#Data], MATCH(I$2,EmissionsValues_Metric[Emission Type],0),MATCH($D62, EmissionsValues_Metric[#Headers],0)),0)</f>
        <v>0</v>
      </c>
      <c r="J62" s="72">
        <f>IFERROR(INDEX(EmissionsValues_Metric[#Data], MATCH(J$2,EmissionsValues_Metric[Emission Type],0),MATCH($D62, EmissionsValues_Metric[#Headers],0)),0)</f>
        <v>0</v>
      </c>
      <c r="K62" s="72">
        <f>IFERROR(INDEX(EmissionsValues_Metric[#Data], MATCH(K$2,EmissionsValues_Metric[Emission Type],0),MATCH($D62, EmissionsValues_Metric[#Headers],0)),0)</f>
        <v>19800</v>
      </c>
      <c r="L62" s="72">
        <f>IFERROR(INDEX(EmissionsValues_Metric[#Data], MATCH(L$2,EmissionsValues_Metric[Emission Type],0),MATCH($D62, EmissionsValues_Metric[#Headers],0)),0)</f>
        <v>20100</v>
      </c>
      <c r="M62" s="72">
        <f>IFERROR(INDEX(EmissionsValues_Metric[#Data], MATCH(M$2,EmissionsValues_Metric[Emission Type],0),MATCH($D62, EmissionsValues_Metric[#Headers],0)),0)</f>
        <v>20300</v>
      </c>
      <c r="N62" s="72">
        <f>IFERROR(INDEX(EmissionsValues_Metric[#Data], MATCH(N$2,EmissionsValues_Metric[Emission Type],0),MATCH($D62, EmissionsValues_Metric[#Headers],0)),0)</f>
        <v>20600</v>
      </c>
      <c r="O62" s="72">
        <f>IFERROR(INDEX(EmissionsValues_Metric[#Data], MATCH(O$2,EmissionsValues_Metric[Emission Type],0),MATCH($D62, EmissionsValues_Metric[#Headers],0)),0)</f>
        <v>21000</v>
      </c>
      <c r="P62" s="72">
        <f>IFERROR(INDEX(EmissionsValues_Metric[#Data], MATCH(P$2,EmissionsValues_Metric[Emission Type],0),MATCH($D62, EmissionsValues_Metric[#Headers],0)),0)</f>
        <v>21300</v>
      </c>
      <c r="Q62" s="72">
        <f>IFERROR(INDEX(EmissionsValues_Metric[#Data], MATCH(Q$2,EmissionsValues_Metric[Emission Type],0),MATCH($D62, EmissionsValues_Metric[#Headers],0)),0)</f>
        <v>21700</v>
      </c>
      <c r="R62" s="72">
        <f>IFERROR(INDEX(EmissionsValues_Metric[#Data], MATCH(R$2,EmissionsValues_Metric[Emission Type],0),MATCH($D62, EmissionsValues_Metric[#Headers],0)),0)</f>
        <v>22000</v>
      </c>
      <c r="S62" s="72">
        <f>IFERROR(INDEX(EmissionsValues_Metric[#Data], MATCH(S$2,EmissionsValues_Metric[Emission Type],0),MATCH($D62, EmissionsValues_Metric[#Headers],0)),0)</f>
        <v>22000</v>
      </c>
      <c r="T62" s="72">
        <f>IFERROR(INDEX(EmissionsValues_Metric[#Data], MATCH(T$2,EmissionsValues_Metric[Emission Type],0),MATCH($D62, EmissionsValues_Metric[#Headers],0)),0)</f>
        <v>22000</v>
      </c>
      <c r="U62" s="72">
        <f>IFERROR(INDEX(EmissionsValues_Metric[#Data], MATCH(U$2,EmissionsValues_Metric[Emission Type],0),MATCH($D62, EmissionsValues_Metric[#Headers],0)),0)</f>
        <v>22000</v>
      </c>
      <c r="V62" s="72">
        <f>IFERROR(INDEX(EmissionsValues_Metric[#Data], MATCH(V$2,EmissionsValues_Metric[Emission Type],0),MATCH($D62, EmissionsValues_Metric[#Headers],0)),0)</f>
        <v>22000</v>
      </c>
      <c r="W62" s="72">
        <f>IFERROR(INDEX(EmissionsValues_Metric[#Data], MATCH(W$2,EmissionsValues_Metric[Emission Type],0),MATCH($D62, EmissionsValues_Metric[#Headers],0)),0)</f>
        <v>22000</v>
      </c>
      <c r="X62" s="72">
        <f>IFERROR(INDEX(EmissionsValues_Metric[#Data], MATCH(X$2,EmissionsValues_Metric[Emission Type],0),MATCH($D62, EmissionsValues_Metric[#Headers],0)),0)</f>
        <v>22000</v>
      </c>
      <c r="Y62" s="72">
        <f>IFERROR(INDEX(EmissionsValues_Metric[#Data], MATCH(Y$2,EmissionsValues_Metric[Emission Type],0),MATCH($D62, EmissionsValues_Metric[#Headers],0)),0)</f>
        <v>22000</v>
      </c>
      <c r="Z62" s="72">
        <f>IFERROR(INDEX(EmissionsValues_Metric[#Data], MATCH(Z$2,EmissionsValues_Metric[Emission Type],0),MATCH($D62, EmissionsValues_Metric[#Headers],0)),0)</f>
        <v>22000</v>
      </c>
      <c r="AA62" s="72">
        <f>IFERROR(INDEX(EmissionsValues_Metric[#Data], MATCH(AA$2,EmissionsValues_Metric[Emission Type],0),MATCH($D62, EmissionsValues_Metric[#Headers],0)),0)</f>
        <v>22000</v>
      </c>
      <c r="AB62" s="72">
        <f>IFERROR(INDEX(EmissionsValues_Metric[#Data], MATCH(AB$2,EmissionsValues_Metric[Emission Type],0),MATCH($D62, EmissionsValues_Metric[#Headers],0)),0)</f>
        <v>22000</v>
      </c>
      <c r="AC62" s="72">
        <f>IFERROR(INDEX(EmissionsValues_Metric[#Data], MATCH(AC$2,EmissionsValues_Metric[Emission Type],0),MATCH($D62, EmissionsValues_Metric[#Headers],0)),0)</f>
        <v>22000</v>
      </c>
      <c r="AD62" s="72">
        <f>IFERROR(INDEX(EmissionsValues_Metric[#Data], MATCH(AD$2,EmissionsValues_Metric[Emission Type],0),MATCH($D62, EmissionsValues_Metric[#Headers],0)),0)</f>
        <v>22000</v>
      </c>
      <c r="AE62" s="72">
        <f>IFERROR(INDEX(EmissionsValues_Metric[#Data], MATCH(AE$2,EmissionsValues_Metric[Emission Type],0),MATCH($D62, EmissionsValues_Metric[#Headers],0)),0)</f>
        <v>22000</v>
      </c>
      <c r="AF62" s="72">
        <f>IFERROR(INDEX(EmissionsValues_Metric[#Data], MATCH(AF$2,EmissionsValues_Metric[Emission Type],0),MATCH($D62, EmissionsValues_Metric[#Headers],0)),0)</f>
        <v>22000</v>
      </c>
      <c r="AG62" s="72">
        <f>IFERROR(INDEX(EmissionsValues_Metric[#Data], MATCH(AG$2,EmissionsValues_Metric[Emission Type],0),MATCH($D62, EmissionsValues_Metric[#Headers],0)),0)</f>
        <v>22000</v>
      </c>
      <c r="AH62" s="72">
        <f>IFERROR(INDEX(EmissionsValues_Metric[#Data], MATCH(AH$2,EmissionsValues_Metric[Emission Type],0),MATCH($D62, EmissionsValues_Metric[#Headers],0)),0)</f>
        <v>22000</v>
      </c>
      <c r="AI62" s="72">
        <f>IFERROR(INDEX(EmissionsValues_Metric[#Data], MATCH(AI$2,EmissionsValues_Metric[Emission Type],0),MATCH($D62, EmissionsValues_Metric[#Headers],0)),0)</f>
        <v>22000</v>
      </c>
      <c r="AJ62" s="72">
        <f>IFERROR(INDEX(EmissionsValues_Metric[#Data], MATCH(AJ$2,EmissionsValues_Metric[Emission Type],0),MATCH($D62, EmissionsValues_Metric[#Headers],0)),0)</f>
        <v>22000</v>
      </c>
      <c r="AK62" s="72">
        <f>IFERROR(INDEX(EmissionsValues_Metric[#Data], MATCH(AK$2,EmissionsValues_Metric[Emission Type],0),MATCH($D62, EmissionsValues_Metric[#Headers],0)),0)</f>
        <v>22000</v>
      </c>
      <c r="AL62" s="72">
        <f>IFERROR(INDEX(EmissionsValues_Metric[#Data], MATCH(AL$2,EmissionsValues_Metric[Emission Type],0),MATCH($D62, EmissionsValues_Metric[#Headers],0)),0)</f>
        <v>22000</v>
      </c>
      <c r="AM62" s="72">
        <f>IFERROR(INDEX(EmissionsValues_Metric[#Data], MATCH(AM$2,EmissionsValues_Metric[Emission Type],0),MATCH($D62, EmissionsValues_Metric[#Headers],0)),0)</f>
        <v>22000</v>
      </c>
      <c r="AN62" s="72">
        <f>IFERROR(INDEX(EmissionsValues_Metric[#Data], MATCH(AN$2,EmissionsValues_Metric[Emission Type],0),MATCH($D62, EmissionsValues_Metric[#Headers],0)),0)</f>
        <v>22000</v>
      </c>
      <c r="AO62" s="72">
        <f>IFERROR(INDEX(EmissionsValues_Metric[#Data], MATCH(AO$2,EmissionsValues_Metric[Emission Type],0),MATCH($D62, EmissionsValues_Metric[#Headers],0)),0)</f>
        <v>22000</v>
      </c>
      <c r="AP62" s="72">
        <f>IFERROR(INDEX(EmissionsValues_Metric[#Data], MATCH(AP$2,EmissionsValues_Metric[Emission Type],0),MATCH($D62, EmissionsValues_Metric[#Headers],0)),0)</f>
        <v>22000</v>
      </c>
      <c r="AQ62" s="72">
        <f>IFERROR(INDEX(EmissionsValues_Metric[#Data], MATCH(AQ$2,EmissionsValues_Metric[Emission Type],0),MATCH($D62, EmissionsValues_Metric[#Headers],0)),0)</f>
        <v>22000</v>
      </c>
      <c r="AR62" s="72">
        <f>IFERROR(INDEX(EmissionsValues_Metric[#Data], MATCH(AR$2,EmissionsValues_Metric[Emission Type],0),MATCH($D62, EmissionsValues_Metric[#Headers],0)),0)</f>
        <v>22000</v>
      </c>
      <c r="AS62" s="72">
        <f>IFERROR(INDEX(EmissionsValues_Metric[#Data], MATCH(AS$2,EmissionsValues_Metric[Emission Type],0),MATCH($D62, EmissionsValues_Metric[#Headers],0)),0)</f>
        <v>22000</v>
      </c>
      <c r="AT62" s="72">
        <f>IFERROR(INDEX(EmissionsValues_Metric[#Data], MATCH(AT$2,EmissionsValues_Metric[Emission Type],0),MATCH($D62, EmissionsValues_Metric[#Headers],0)),0)</f>
        <v>22000</v>
      </c>
      <c r="AU62" s="72">
        <f>IFERROR(INDEX(EmissionsValues_Metric[#Data], MATCH(AU$2,EmissionsValues_Metric[Emission Type],0),MATCH($D62, EmissionsValues_Metric[#Headers],0)),0)</f>
        <v>22000</v>
      </c>
      <c r="AV62" s="72">
        <f>IFERROR(INDEX(EmissionsValues_Metric[#Data], MATCH(AV$2,EmissionsValues_Metric[Emission Type],0),MATCH($D62, EmissionsValues_Metric[#Headers],0)),0)</f>
        <v>22000</v>
      </c>
      <c r="AW62" s="72">
        <f>IFERROR(INDEX(EmissionsValues_Metric[#Data], MATCH(AW$2,EmissionsValues_Metric[Emission Type],0),MATCH($D62, EmissionsValues_Metric[#Headers],0)),0)</f>
        <v>22000</v>
      </c>
      <c r="AX62" s="72">
        <f>IFERROR(INDEX(EmissionsValues_Metric[#Data], MATCH(AX$2,EmissionsValues_Metric[Emission Type],0),MATCH($D62, EmissionsValues_Metric[#Headers],0)),0)</f>
        <v>22000</v>
      </c>
      <c r="AY62" s="72">
        <f>IFERROR(INDEX(EmissionsValues_Metric[#Data], MATCH(AY$2,EmissionsValues_Metric[Emission Type],0),MATCH($D62, EmissionsValues_Metric[#Headers],0)),0)</f>
        <v>22000</v>
      </c>
      <c r="AZ62" s="72">
        <f>IFERROR(INDEX(EmissionsValues_Metric[#Data], MATCH(AZ$2,EmissionsValues_Metric[Emission Type],0),MATCH($D62, EmissionsValues_Metric[#Headers],0)),0)</f>
        <v>22000</v>
      </c>
      <c r="BA62" s="72">
        <f>IFERROR(INDEX(EmissionsValues_Metric[#Data], MATCH(BA$2,EmissionsValues_Metric[Emission Type],0),MATCH($D62, EmissionsValues_Metric[#Headers],0)),0)</f>
        <v>22000</v>
      </c>
      <c r="BB62" s="72">
        <f>IFERROR(INDEX(EmissionsValues_Metric[#Data], MATCH(BB$2,EmissionsValues_Metric[Emission Type],0),MATCH($D62, EmissionsValues_Metric[#Headers],0)),0)</f>
        <v>22000</v>
      </c>
    </row>
    <row r="63" spans="1:54">
      <c r="D63" s="250" t="s">
        <v>21</v>
      </c>
      <c r="E63" s="251" t="s">
        <v>196</v>
      </c>
      <c r="F63"/>
      <c r="G63" s="19" t="s">
        <v>194</v>
      </c>
      <c r="H63" s="71"/>
      <c r="I63" s="72">
        <f>IFERROR(INDEX(EmissionsValues_Metric[#Data], MATCH(I$2,EmissionsValues_Metric[Emission Type],0),MATCH($D63, EmissionsValues_Metric[#Headers],0)),0)</f>
        <v>0</v>
      </c>
      <c r="J63" s="72">
        <f>IFERROR(INDEX(EmissionsValues_Metric[#Data], MATCH(J$2,EmissionsValues_Metric[Emission Type],0),MATCH($D63, EmissionsValues_Metric[#Headers],0)),0)</f>
        <v>0</v>
      </c>
      <c r="K63" s="72">
        <f>IFERROR(INDEX(EmissionsValues_Metric[#Data], MATCH(K$2,EmissionsValues_Metric[Emission Type],0),MATCH($D63, EmissionsValues_Metric[#Headers],0)),0)</f>
        <v>951000</v>
      </c>
      <c r="L63" s="72">
        <f>IFERROR(INDEX(EmissionsValues_Metric[#Data], MATCH(L$2,EmissionsValues_Metric[Emission Type],0),MATCH($D63, EmissionsValues_Metric[#Headers],0)),0)</f>
        <v>963200</v>
      </c>
      <c r="M63" s="72">
        <f>IFERROR(INDEX(EmissionsValues_Metric[#Data], MATCH(M$2,EmissionsValues_Metric[Emission Type],0),MATCH($D63, EmissionsValues_Metric[#Headers],0)),0)</f>
        <v>975500</v>
      </c>
      <c r="N63" s="72">
        <f>IFERROR(INDEX(EmissionsValues_Metric[#Data], MATCH(N$2,EmissionsValues_Metric[Emission Type],0),MATCH($D63, EmissionsValues_Metric[#Headers],0)),0)</f>
        <v>993500</v>
      </c>
      <c r="O63" s="72">
        <f>IFERROR(INDEX(EmissionsValues_Metric[#Data], MATCH(O$2,EmissionsValues_Metric[Emission Type],0),MATCH($D63, EmissionsValues_Metric[#Headers],0)),0)</f>
        <v>1011900</v>
      </c>
      <c r="P63" s="72">
        <f>IFERROR(INDEX(EmissionsValues_Metric[#Data], MATCH(P$2,EmissionsValues_Metric[Emission Type],0),MATCH($D63, EmissionsValues_Metric[#Headers],0)),0)</f>
        <v>1030600</v>
      </c>
      <c r="Q63" s="72">
        <f>IFERROR(INDEX(EmissionsValues_Metric[#Data], MATCH(Q$2,EmissionsValues_Metric[Emission Type],0),MATCH($D63, EmissionsValues_Metric[#Headers],0)),0)</f>
        <v>1049600</v>
      </c>
      <c r="R63" s="72">
        <f>IFERROR(INDEX(EmissionsValues_Metric[#Data], MATCH(R$2,EmissionsValues_Metric[Emission Type],0),MATCH($D63, EmissionsValues_Metric[#Headers],0)),0)</f>
        <v>1069000</v>
      </c>
      <c r="S63" s="72">
        <f>IFERROR(INDEX(EmissionsValues_Metric[#Data], MATCH(S$2,EmissionsValues_Metric[Emission Type],0),MATCH($D63, EmissionsValues_Metric[#Headers],0)),0)</f>
        <v>1069000</v>
      </c>
      <c r="T63" s="72">
        <f>IFERROR(INDEX(EmissionsValues_Metric[#Data], MATCH(T$2,EmissionsValues_Metric[Emission Type],0),MATCH($D63, EmissionsValues_Metric[#Headers],0)),0)</f>
        <v>1069000</v>
      </c>
      <c r="U63" s="72">
        <f>IFERROR(INDEX(EmissionsValues_Metric[#Data], MATCH(U$2,EmissionsValues_Metric[Emission Type],0),MATCH($D63, EmissionsValues_Metric[#Headers],0)),0)</f>
        <v>1069000</v>
      </c>
      <c r="V63" s="72">
        <f>IFERROR(INDEX(EmissionsValues_Metric[#Data], MATCH(V$2,EmissionsValues_Metric[Emission Type],0),MATCH($D63, EmissionsValues_Metric[#Headers],0)),0)</f>
        <v>1069000</v>
      </c>
      <c r="W63" s="72">
        <f>IFERROR(INDEX(EmissionsValues_Metric[#Data], MATCH(W$2,EmissionsValues_Metric[Emission Type],0),MATCH($D63, EmissionsValues_Metric[#Headers],0)),0)</f>
        <v>1069000</v>
      </c>
      <c r="X63" s="72">
        <f>IFERROR(INDEX(EmissionsValues_Metric[#Data], MATCH(X$2,EmissionsValues_Metric[Emission Type],0),MATCH($D63, EmissionsValues_Metric[#Headers],0)),0)</f>
        <v>1069000</v>
      </c>
      <c r="Y63" s="72">
        <f>IFERROR(INDEX(EmissionsValues_Metric[#Data], MATCH(Y$2,EmissionsValues_Metric[Emission Type],0),MATCH($D63, EmissionsValues_Metric[#Headers],0)),0)</f>
        <v>1069000</v>
      </c>
      <c r="Z63" s="72">
        <f>IFERROR(INDEX(EmissionsValues_Metric[#Data], MATCH(Z$2,EmissionsValues_Metric[Emission Type],0),MATCH($D63, EmissionsValues_Metric[#Headers],0)),0)</f>
        <v>1069000</v>
      </c>
      <c r="AA63" s="72">
        <f>IFERROR(INDEX(EmissionsValues_Metric[#Data], MATCH(AA$2,EmissionsValues_Metric[Emission Type],0),MATCH($D63, EmissionsValues_Metric[#Headers],0)),0)</f>
        <v>1069000</v>
      </c>
      <c r="AB63" s="72">
        <f>IFERROR(INDEX(EmissionsValues_Metric[#Data], MATCH(AB$2,EmissionsValues_Metric[Emission Type],0),MATCH($D63, EmissionsValues_Metric[#Headers],0)),0)</f>
        <v>1069000</v>
      </c>
      <c r="AC63" s="72">
        <f>IFERROR(INDEX(EmissionsValues_Metric[#Data], MATCH(AC$2,EmissionsValues_Metric[Emission Type],0),MATCH($D63, EmissionsValues_Metric[#Headers],0)),0)</f>
        <v>1069000</v>
      </c>
      <c r="AD63" s="72">
        <f>IFERROR(INDEX(EmissionsValues_Metric[#Data], MATCH(AD$2,EmissionsValues_Metric[Emission Type],0),MATCH($D63, EmissionsValues_Metric[#Headers],0)),0)</f>
        <v>1069000</v>
      </c>
      <c r="AE63" s="72">
        <f>IFERROR(INDEX(EmissionsValues_Metric[#Data], MATCH(AE$2,EmissionsValues_Metric[Emission Type],0),MATCH($D63, EmissionsValues_Metric[#Headers],0)),0)</f>
        <v>1069000</v>
      </c>
      <c r="AF63" s="72">
        <f>IFERROR(INDEX(EmissionsValues_Metric[#Data], MATCH(AF$2,EmissionsValues_Metric[Emission Type],0),MATCH($D63, EmissionsValues_Metric[#Headers],0)),0)</f>
        <v>1069000</v>
      </c>
      <c r="AG63" s="72">
        <f>IFERROR(INDEX(EmissionsValues_Metric[#Data], MATCH(AG$2,EmissionsValues_Metric[Emission Type],0),MATCH($D63, EmissionsValues_Metric[#Headers],0)),0)</f>
        <v>1069000</v>
      </c>
      <c r="AH63" s="72">
        <f>IFERROR(INDEX(EmissionsValues_Metric[#Data], MATCH(AH$2,EmissionsValues_Metric[Emission Type],0),MATCH($D63, EmissionsValues_Metric[#Headers],0)),0)</f>
        <v>1069000</v>
      </c>
      <c r="AI63" s="72">
        <f>IFERROR(INDEX(EmissionsValues_Metric[#Data], MATCH(AI$2,EmissionsValues_Metric[Emission Type],0),MATCH($D63, EmissionsValues_Metric[#Headers],0)),0)</f>
        <v>1069000</v>
      </c>
      <c r="AJ63" s="72">
        <f>IFERROR(INDEX(EmissionsValues_Metric[#Data], MATCH(AJ$2,EmissionsValues_Metric[Emission Type],0),MATCH($D63, EmissionsValues_Metric[#Headers],0)),0)</f>
        <v>1069000</v>
      </c>
      <c r="AK63" s="72">
        <f>IFERROR(INDEX(EmissionsValues_Metric[#Data], MATCH(AK$2,EmissionsValues_Metric[Emission Type],0),MATCH($D63, EmissionsValues_Metric[#Headers],0)),0)</f>
        <v>1069000</v>
      </c>
      <c r="AL63" s="72">
        <f>IFERROR(INDEX(EmissionsValues_Metric[#Data], MATCH(AL$2,EmissionsValues_Metric[Emission Type],0),MATCH($D63, EmissionsValues_Metric[#Headers],0)),0)</f>
        <v>1069000</v>
      </c>
      <c r="AM63" s="72">
        <f>IFERROR(INDEX(EmissionsValues_Metric[#Data], MATCH(AM$2,EmissionsValues_Metric[Emission Type],0),MATCH($D63, EmissionsValues_Metric[#Headers],0)),0)</f>
        <v>1069000</v>
      </c>
      <c r="AN63" s="72">
        <f>IFERROR(INDEX(EmissionsValues_Metric[#Data], MATCH(AN$2,EmissionsValues_Metric[Emission Type],0),MATCH($D63, EmissionsValues_Metric[#Headers],0)),0)</f>
        <v>1069000</v>
      </c>
      <c r="AO63" s="72">
        <f>IFERROR(INDEX(EmissionsValues_Metric[#Data], MATCH(AO$2,EmissionsValues_Metric[Emission Type],0),MATCH($D63, EmissionsValues_Metric[#Headers],0)),0)</f>
        <v>1069000</v>
      </c>
      <c r="AP63" s="72">
        <f>IFERROR(INDEX(EmissionsValues_Metric[#Data], MATCH(AP$2,EmissionsValues_Metric[Emission Type],0),MATCH($D63, EmissionsValues_Metric[#Headers],0)),0)</f>
        <v>1069000</v>
      </c>
      <c r="AQ63" s="72">
        <f>IFERROR(INDEX(EmissionsValues_Metric[#Data], MATCH(AQ$2,EmissionsValues_Metric[Emission Type],0),MATCH($D63, EmissionsValues_Metric[#Headers],0)),0)</f>
        <v>1069000</v>
      </c>
      <c r="AR63" s="72">
        <f>IFERROR(INDEX(EmissionsValues_Metric[#Data], MATCH(AR$2,EmissionsValues_Metric[Emission Type],0),MATCH($D63, EmissionsValues_Metric[#Headers],0)),0)</f>
        <v>1069000</v>
      </c>
      <c r="AS63" s="72">
        <f>IFERROR(INDEX(EmissionsValues_Metric[#Data], MATCH(AS$2,EmissionsValues_Metric[Emission Type],0),MATCH($D63, EmissionsValues_Metric[#Headers],0)),0)</f>
        <v>1069000</v>
      </c>
      <c r="AT63" s="72">
        <f>IFERROR(INDEX(EmissionsValues_Metric[#Data], MATCH(AT$2,EmissionsValues_Metric[Emission Type],0),MATCH($D63, EmissionsValues_Metric[#Headers],0)),0)</f>
        <v>1069000</v>
      </c>
      <c r="AU63" s="72">
        <f>IFERROR(INDEX(EmissionsValues_Metric[#Data], MATCH(AU$2,EmissionsValues_Metric[Emission Type],0),MATCH($D63, EmissionsValues_Metric[#Headers],0)),0)</f>
        <v>1069000</v>
      </c>
      <c r="AV63" s="72">
        <f>IFERROR(INDEX(EmissionsValues_Metric[#Data], MATCH(AV$2,EmissionsValues_Metric[Emission Type],0),MATCH($D63, EmissionsValues_Metric[#Headers],0)),0)</f>
        <v>1069000</v>
      </c>
      <c r="AW63" s="72">
        <f>IFERROR(INDEX(EmissionsValues_Metric[#Data], MATCH(AW$2,EmissionsValues_Metric[Emission Type],0),MATCH($D63, EmissionsValues_Metric[#Headers],0)),0)</f>
        <v>1069000</v>
      </c>
      <c r="AX63" s="72">
        <f>IFERROR(INDEX(EmissionsValues_Metric[#Data], MATCH(AX$2,EmissionsValues_Metric[Emission Type],0),MATCH($D63, EmissionsValues_Metric[#Headers],0)),0)</f>
        <v>1069000</v>
      </c>
      <c r="AY63" s="72">
        <f>IFERROR(INDEX(EmissionsValues_Metric[#Data], MATCH(AY$2,EmissionsValues_Metric[Emission Type],0),MATCH($D63, EmissionsValues_Metric[#Headers],0)),0)</f>
        <v>1069000</v>
      </c>
      <c r="AZ63" s="72">
        <f>IFERROR(INDEX(EmissionsValues_Metric[#Data], MATCH(AZ$2,EmissionsValues_Metric[Emission Type],0),MATCH($D63, EmissionsValues_Metric[#Headers],0)),0)</f>
        <v>1069000</v>
      </c>
      <c r="BA63" s="72">
        <f>IFERROR(INDEX(EmissionsValues_Metric[#Data], MATCH(BA$2,EmissionsValues_Metric[Emission Type],0),MATCH($D63, EmissionsValues_Metric[#Headers],0)),0)</f>
        <v>1069000</v>
      </c>
      <c r="BB63" s="72">
        <f>IFERROR(INDEX(EmissionsValues_Metric[#Data], MATCH(BB$2,EmissionsValues_Metric[Emission Type],0),MATCH($D63, EmissionsValues_Metric[#Headers],0)),0)</f>
        <v>1069000</v>
      </c>
    </row>
    <row r="64" spans="1:54">
      <c r="D64" s="250" t="s">
        <v>197</v>
      </c>
      <c r="E64" s="251" t="s">
        <v>198</v>
      </c>
      <c r="F64"/>
      <c r="G64" s="19" t="s">
        <v>194</v>
      </c>
      <c r="H64" s="71"/>
      <c r="I64" s="72">
        <f>IFERROR(INDEX(EmissionsValues_Metric[#Data], MATCH(I$2,EmissionsValues_Metric[Emission Type],0),MATCH($D64, EmissionsValues_Metric[#Headers],0)),0)</f>
        <v>0</v>
      </c>
      <c r="J64" s="72">
        <f>IFERROR(INDEX(EmissionsValues_Metric[#Data], MATCH(J$2,EmissionsValues_Metric[Emission Type],0),MATCH($D64, EmissionsValues_Metric[#Headers],0)),0)</f>
        <v>0</v>
      </c>
      <c r="K64" s="72">
        <f>IFERROR(INDEX(EmissionsValues_Metric[#Data], MATCH(K$2,EmissionsValues_Metric[Emission Type],0),MATCH($D64, EmissionsValues_Metric[#Headers],0)),0)</f>
        <v>52900</v>
      </c>
      <c r="L64" s="72">
        <f>IFERROR(INDEX(EmissionsValues_Metric[#Data], MATCH(L$2,EmissionsValues_Metric[Emission Type],0),MATCH($D64, EmissionsValues_Metric[#Headers],0)),0)</f>
        <v>53800</v>
      </c>
      <c r="M64" s="72">
        <f>IFERROR(INDEX(EmissionsValues_Metric[#Data], MATCH(M$2,EmissionsValues_Metric[Emission Type],0),MATCH($D64, EmissionsValues_Metric[#Headers],0)),0)</f>
        <v>54800</v>
      </c>
      <c r="N64" s="72">
        <f>IFERROR(INDEX(EmissionsValues_Metric[#Data], MATCH(N$2,EmissionsValues_Metric[Emission Type],0),MATCH($D64, EmissionsValues_Metric[#Headers],0)),0)</f>
        <v>56100</v>
      </c>
      <c r="O64" s="72">
        <f>IFERROR(INDEX(EmissionsValues_Metric[#Data], MATCH(O$2,EmissionsValues_Metric[Emission Type],0),MATCH($D64, EmissionsValues_Metric[#Headers],0)),0)</f>
        <v>57400</v>
      </c>
      <c r="P64" s="72">
        <f>IFERROR(INDEX(EmissionsValues_Metric[#Data], MATCH(P$2,EmissionsValues_Metric[Emission Type],0),MATCH($D64, EmissionsValues_Metric[#Headers],0)),0)</f>
        <v>58700</v>
      </c>
      <c r="Q64" s="72">
        <f>IFERROR(INDEX(EmissionsValues_Metric[#Data], MATCH(Q$2,EmissionsValues_Metric[Emission Type],0),MATCH($D64, EmissionsValues_Metric[#Headers],0)),0)</f>
        <v>60100</v>
      </c>
      <c r="R64" s="72">
        <f>IFERROR(INDEX(EmissionsValues_Metric[#Data], MATCH(R$2,EmissionsValues_Metric[Emission Type],0),MATCH($D64, EmissionsValues_Metric[#Headers],0)),0)</f>
        <v>61500</v>
      </c>
      <c r="S64" s="72">
        <f>IFERROR(INDEX(EmissionsValues_Metric[#Data], MATCH(S$2,EmissionsValues_Metric[Emission Type],0),MATCH($D64, EmissionsValues_Metric[#Headers],0)),0)</f>
        <v>61500</v>
      </c>
      <c r="T64" s="72">
        <f>IFERROR(INDEX(EmissionsValues_Metric[#Data], MATCH(T$2,EmissionsValues_Metric[Emission Type],0),MATCH($D64, EmissionsValues_Metric[#Headers],0)),0)</f>
        <v>61500</v>
      </c>
      <c r="U64" s="72">
        <f>IFERROR(INDEX(EmissionsValues_Metric[#Data], MATCH(U$2,EmissionsValues_Metric[Emission Type],0),MATCH($D64, EmissionsValues_Metric[#Headers],0)),0)</f>
        <v>61500</v>
      </c>
      <c r="V64" s="72">
        <f>IFERROR(INDEX(EmissionsValues_Metric[#Data], MATCH(V$2,EmissionsValues_Metric[Emission Type],0),MATCH($D64, EmissionsValues_Metric[#Headers],0)),0)</f>
        <v>61500</v>
      </c>
      <c r="W64" s="72">
        <f>IFERROR(INDEX(EmissionsValues_Metric[#Data], MATCH(W$2,EmissionsValues_Metric[Emission Type],0),MATCH($D64, EmissionsValues_Metric[#Headers],0)),0)</f>
        <v>61500</v>
      </c>
      <c r="X64" s="72">
        <f>IFERROR(INDEX(EmissionsValues_Metric[#Data], MATCH(X$2,EmissionsValues_Metric[Emission Type],0),MATCH($D64, EmissionsValues_Metric[#Headers],0)),0)</f>
        <v>61500</v>
      </c>
      <c r="Y64" s="72">
        <f>IFERROR(INDEX(EmissionsValues_Metric[#Data], MATCH(Y$2,EmissionsValues_Metric[Emission Type],0),MATCH($D64, EmissionsValues_Metric[#Headers],0)),0)</f>
        <v>61500</v>
      </c>
      <c r="Z64" s="72">
        <f>IFERROR(INDEX(EmissionsValues_Metric[#Data], MATCH(Z$2,EmissionsValues_Metric[Emission Type],0),MATCH($D64, EmissionsValues_Metric[#Headers],0)),0)</f>
        <v>61500</v>
      </c>
      <c r="AA64" s="72">
        <f>IFERROR(INDEX(EmissionsValues_Metric[#Data], MATCH(AA$2,EmissionsValues_Metric[Emission Type],0),MATCH($D64, EmissionsValues_Metric[#Headers],0)),0)</f>
        <v>61500</v>
      </c>
      <c r="AB64" s="72">
        <f>IFERROR(INDEX(EmissionsValues_Metric[#Data], MATCH(AB$2,EmissionsValues_Metric[Emission Type],0),MATCH($D64, EmissionsValues_Metric[#Headers],0)),0)</f>
        <v>61500</v>
      </c>
      <c r="AC64" s="72">
        <f>IFERROR(INDEX(EmissionsValues_Metric[#Data], MATCH(AC$2,EmissionsValues_Metric[Emission Type],0),MATCH($D64, EmissionsValues_Metric[#Headers],0)),0)</f>
        <v>61500</v>
      </c>
      <c r="AD64" s="72">
        <f>IFERROR(INDEX(EmissionsValues_Metric[#Data], MATCH(AD$2,EmissionsValues_Metric[Emission Type],0),MATCH($D64, EmissionsValues_Metric[#Headers],0)),0)</f>
        <v>61500</v>
      </c>
      <c r="AE64" s="72">
        <f>IFERROR(INDEX(EmissionsValues_Metric[#Data], MATCH(AE$2,EmissionsValues_Metric[Emission Type],0),MATCH($D64, EmissionsValues_Metric[#Headers],0)),0)</f>
        <v>61500</v>
      </c>
      <c r="AF64" s="72">
        <f>IFERROR(INDEX(EmissionsValues_Metric[#Data], MATCH(AF$2,EmissionsValues_Metric[Emission Type],0),MATCH($D64, EmissionsValues_Metric[#Headers],0)),0)</f>
        <v>61500</v>
      </c>
      <c r="AG64" s="72">
        <f>IFERROR(INDEX(EmissionsValues_Metric[#Data], MATCH(AG$2,EmissionsValues_Metric[Emission Type],0),MATCH($D64, EmissionsValues_Metric[#Headers],0)),0)</f>
        <v>61500</v>
      </c>
      <c r="AH64" s="72">
        <f>IFERROR(INDEX(EmissionsValues_Metric[#Data], MATCH(AH$2,EmissionsValues_Metric[Emission Type],0),MATCH($D64, EmissionsValues_Metric[#Headers],0)),0)</f>
        <v>61500</v>
      </c>
      <c r="AI64" s="72">
        <f>IFERROR(INDEX(EmissionsValues_Metric[#Data], MATCH(AI$2,EmissionsValues_Metric[Emission Type],0),MATCH($D64, EmissionsValues_Metric[#Headers],0)),0)</f>
        <v>61500</v>
      </c>
      <c r="AJ64" s="72">
        <f>IFERROR(INDEX(EmissionsValues_Metric[#Data], MATCH(AJ$2,EmissionsValues_Metric[Emission Type],0),MATCH($D64, EmissionsValues_Metric[#Headers],0)),0)</f>
        <v>61500</v>
      </c>
      <c r="AK64" s="72">
        <f>IFERROR(INDEX(EmissionsValues_Metric[#Data], MATCH(AK$2,EmissionsValues_Metric[Emission Type],0),MATCH($D64, EmissionsValues_Metric[#Headers],0)),0)</f>
        <v>61500</v>
      </c>
      <c r="AL64" s="72">
        <f>IFERROR(INDEX(EmissionsValues_Metric[#Data], MATCH(AL$2,EmissionsValues_Metric[Emission Type],0),MATCH($D64, EmissionsValues_Metric[#Headers],0)),0)</f>
        <v>61500</v>
      </c>
      <c r="AM64" s="72">
        <f>IFERROR(INDEX(EmissionsValues_Metric[#Data], MATCH(AM$2,EmissionsValues_Metric[Emission Type],0),MATCH($D64, EmissionsValues_Metric[#Headers],0)),0)</f>
        <v>61500</v>
      </c>
      <c r="AN64" s="72">
        <f>IFERROR(INDEX(EmissionsValues_Metric[#Data], MATCH(AN$2,EmissionsValues_Metric[Emission Type],0),MATCH($D64, EmissionsValues_Metric[#Headers],0)),0)</f>
        <v>61500</v>
      </c>
      <c r="AO64" s="72">
        <f>IFERROR(INDEX(EmissionsValues_Metric[#Data], MATCH(AO$2,EmissionsValues_Metric[Emission Type],0),MATCH($D64, EmissionsValues_Metric[#Headers],0)),0)</f>
        <v>61500</v>
      </c>
      <c r="AP64" s="72">
        <f>IFERROR(INDEX(EmissionsValues_Metric[#Data], MATCH(AP$2,EmissionsValues_Metric[Emission Type],0),MATCH($D64, EmissionsValues_Metric[#Headers],0)),0)</f>
        <v>61500</v>
      </c>
      <c r="AQ64" s="72">
        <f>IFERROR(INDEX(EmissionsValues_Metric[#Data], MATCH(AQ$2,EmissionsValues_Metric[Emission Type],0),MATCH($D64, EmissionsValues_Metric[#Headers],0)),0)</f>
        <v>61500</v>
      </c>
      <c r="AR64" s="72">
        <f>IFERROR(INDEX(EmissionsValues_Metric[#Data], MATCH(AR$2,EmissionsValues_Metric[Emission Type],0),MATCH($D64, EmissionsValues_Metric[#Headers],0)),0)</f>
        <v>61500</v>
      </c>
      <c r="AS64" s="72">
        <f>IFERROR(INDEX(EmissionsValues_Metric[#Data], MATCH(AS$2,EmissionsValues_Metric[Emission Type],0),MATCH($D64, EmissionsValues_Metric[#Headers],0)),0)</f>
        <v>61500</v>
      </c>
      <c r="AT64" s="72">
        <f>IFERROR(INDEX(EmissionsValues_Metric[#Data], MATCH(AT$2,EmissionsValues_Metric[Emission Type],0),MATCH($D64, EmissionsValues_Metric[#Headers],0)),0)</f>
        <v>61500</v>
      </c>
      <c r="AU64" s="72">
        <f>IFERROR(INDEX(EmissionsValues_Metric[#Data], MATCH(AU$2,EmissionsValues_Metric[Emission Type],0),MATCH($D64, EmissionsValues_Metric[#Headers],0)),0)</f>
        <v>61500</v>
      </c>
      <c r="AV64" s="72">
        <f>IFERROR(INDEX(EmissionsValues_Metric[#Data], MATCH(AV$2,EmissionsValues_Metric[Emission Type],0),MATCH($D64, EmissionsValues_Metric[#Headers],0)),0)</f>
        <v>61500</v>
      </c>
      <c r="AW64" s="72">
        <f>IFERROR(INDEX(EmissionsValues_Metric[#Data], MATCH(AW$2,EmissionsValues_Metric[Emission Type],0),MATCH($D64, EmissionsValues_Metric[#Headers],0)),0)</f>
        <v>61500</v>
      </c>
      <c r="AX64" s="72">
        <f>IFERROR(INDEX(EmissionsValues_Metric[#Data], MATCH(AX$2,EmissionsValues_Metric[Emission Type],0),MATCH($D64, EmissionsValues_Metric[#Headers],0)),0)</f>
        <v>61500</v>
      </c>
      <c r="AY64" s="72">
        <f>IFERROR(INDEX(EmissionsValues_Metric[#Data], MATCH(AY$2,EmissionsValues_Metric[Emission Type],0),MATCH($D64, EmissionsValues_Metric[#Headers],0)),0)</f>
        <v>61500</v>
      </c>
      <c r="AZ64" s="72">
        <f>IFERROR(INDEX(EmissionsValues_Metric[#Data], MATCH(AZ$2,EmissionsValues_Metric[Emission Type],0),MATCH($D64, EmissionsValues_Metric[#Headers],0)),0)</f>
        <v>61500</v>
      </c>
      <c r="BA64" s="72">
        <f>IFERROR(INDEX(EmissionsValues_Metric[#Data], MATCH(BA$2,EmissionsValues_Metric[Emission Type],0),MATCH($D64, EmissionsValues_Metric[#Headers],0)),0)</f>
        <v>61500</v>
      </c>
      <c r="BB64" s="72">
        <f>IFERROR(INDEX(EmissionsValues_Metric[#Data], MATCH(BB$2,EmissionsValues_Metric[Emission Type],0),MATCH($D64, EmissionsValues_Metric[#Headers],0)),0)</f>
        <v>61500</v>
      </c>
    </row>
    <row r="65" spans="4:54">
      <c r="G65" s="19"/>
      <c r="H65" s="71"/>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row>
    <row r="66" spans="4:54">
      <c r="D66" s="12" t="s">
        <v>199</v>
      </c>
      <c r="G66" s="19"/>
      <c r="H66" s="71"/>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row>
    <row r="67" spans="4:54">
      <c r="D67" s="250" t="s">
        <v>22</v>
      </c>
      <c r="E67" s="36" t="s">
        <v>201</v>
      </c>
      <c r="F67"/>
      <c r="G67" s="19" t="s">
        <v>202</v>
      </c>
      <c r="H67" s="71"/>
      <c r="I67" s="252">
        <f>INDEX(Emissions_Lookup_35mph!$B$6:$H$51,MATCH('Intermediate Calcs'!I$2,Emissions_Lookup_35mph!$A$6:$A$51,0),MATCH('Intermediate Calcs'!$D67,Emissions_Lookup_35mph!$B$5:$H$5,0))*I$3</f>
        <v>0</v>
      </c>
      <c r="J67" s="252">
        <f>INDEX(Emissions_Lookup_35mph!$B$6:$H$51,MATCH('Intermediate Calcs'!J$2,Emissions_Lookup_35mph!$A$6:$A$51,0),MATCH('Intermediate Calcs'!$D67,Emissions_Lookup_35mph!$B$5:$H$5,0))*J$3</f>
        <v>0</v>
      </c>
      <c r="K67" s="252">
        <f>INDEX(Emissions_Lookup_35mph!$B$6:$H$51,MATCH('Intermediate Calcs'!K$2,Emissions_Lookup_35mph!$A$6:$A$51,0),MATCH('Intermediate Calcs'!$D67,Emissions_Lookup_35mph!$B$5:$H$5,0))*K$3</f>
        <v>0</v>
      </c>
      <c r="L67" s="252">
        <f>INDEX(Emissions_Lookup_35mph!$B$6:$H$51,MATCH('Intermediate Calcs'!L$2,Emissions_Lookup_35mph!$A$6:$A$51,0),MATCH('Intermediate Calcs'!$D67,Emissions_Lookup_35mph!$B$5:$H$5,0))*L$3</f>
        <v>0</v>
      </c>
      <c r="M67" s="252">
        <f>INDEX(Emissions_Lookup_35mph!$B$6:$H$51,MATCH('Intermediate Calcs'!M$2,Emissions_Lookup_35mph!$A$6:$A$51,0),MATCH('Intermediate Calcs'!$D67,Emissions_Lookup_35mph!$B$5:$H$5,0))*M$3</f>
        <v>0</v>
      </c>
      <c r="N67" s="252">
        <f>INDEX(Emissions_Lookup_35mph!$B$6:$H$51,MATCH('Intermediate Calcs'!N$2,Emissions_Lookup_35mph!$A$6:$A$51,0),MATCH('Intermediate Calcs'!$D67,Emissions_Lookup_35mph!$B$5:$H$5,0))*N$3</f>
        <v>0</v>
      </c>
      <c r="O67" s="252">
        <f>INDEX(Emissions_Lookup_35mph!$B$6:$H$51,MATCH('Intermediate Calcs'!O$2,Emissions_Lookup_35mph!$A$6:$A$51,0),MATCH('Intermediate Calcs'!$D67,Emissions_Lookup_35mph!$B$5:$H$5,0))*O$3</f>
        <v>0</v>
      </c>
      <c r="P67" s="252">
        <f>INDEX(Emissions_Lookup_35mph!$B$6:$H$51,MATCH('Intermediate Calcs'!P$2,Emissions_Lookup_35mph!$A$6:$A$51,0),MATCH('Intermediate Calcs'!$D67,Emissions_Lookup_35mph!$B$5:$H$5,0))*P$3</f>
        <v>2.0750258731841995E-4</v>
      </c>
      <c r="Q67" s="252">
        <f>INDEX(Emissions_Lookup_35mph!$B$6:$H$51,MATCH('Intermediate Calcs'!Q$2,Emissions_Lookup_35mph!$A$6:$A$51,0),MATCH('Intermediate Calcs'!$D67,Emissions_Lookup_35mph!$B$5:$H$5,0))*Q$3</f>
        <v>2.7318132972717227E-4</v>
      </c>
      <c r="R67" s="252">
        <f>INDEX(Emissions_Lookup_35mph!$B$6:$H$51,MATCH('Intermediate Calcs'!R$2,Emissions_Lookup_35mph!$A$6:$A$51,0),MATCH('Intermediate Calcs'!$D67,Emissions_Lookup_35mph!$B$5:$H$5,0))*R$3</f>
        <v>2.6969254302978458E-4</v>
      </c>
      <c r="S67" s="252">
        <f>INDEX(Emissions_Lookup_35mph!$B$6:$H$51,MATCH('Intermediate Calcs'!S$2,Emissions_Lookup_35mph!$A$6:$A$51,0),MATCH('Intermediate Calcs'!$D67,Emissions_Lookup_35mph!$B$5:$H$5,0))*S$3</f>
        <v>2.6620375633239701E-4</v>
      </c>
      <c r="T67" s="252">
        <f>INDEX(Emissions_Lookup_35mph!$B$6:$H$51,MATCH('Intermediate Calcs'!T$2,Emissions_Lookup_35mph!$A$6:$A$51,0),MATCH('Intermediate Calcs'!$D67,Emissions_Lookup_35mph!$B$5:$H$5,0))*T$3</f>
        <v>2.6421209249496416E-4</v>
      </c>
      <c r="U67" s="252">
        <f>INDEX(Emissions_Lookup_35mph!$B$6:$H$51,MATCH('Intermediate Calcs'!U$2,Emissions_Lookup_35mph!$A$6:$A$51,0),MATCH('Intermediate Calcs'!$D67,Emissions_Lookup_35mph!$B$5:$H$5,0))*U$3</f>
        <v>2.6222042865753131E-4</v>
      </c>
      <c r="V67" s="252">
        <f>INDEX(Emissions_Lookup_35mph!$B$6:$H$51,MATCH('Intermediate Calcs'!V$2,Emissions_Lookup_35mph!$A$6:$A$51,0),MATCH('Intermediate Calcs'!$D67,Emissions_Lookup_35mph!$B$5:$H$5,0))*V$3</f>
        <v>2.6022876482009846E-4</v>
      </c>
      <c r="W67" s="252">
        <f>INDEX(Emissions_Lookup_35mph!$B$6:$H$51,MATCH('Intermediate Calcs'!W$2,Emissions_Lookup_35mph!$A$6:$A$51,0),MATCH('Intermediate Calcs'!$D67,Emissions_Lookup_35mph!$B$5:$H$5,0))*W$3</f>
        <v>2.5823710098266562E-4</v>
      </c>
      <c r="X67" s="252">
        <f>INDEX(Emissions_Lookup_35mph!$B$6:$H$51,MATCH('Intermediate Calcs'!X$2,Emissions_Lookup_35mph!$A$6:$A$51,0),MATCH('Intermediate Calcs'!$D67,Emissions_Lookup_35mph!$B$5:$H$5,0))*X$3</f>
        <v>2.5624543714523277E-4</v>
      </c>
      <c r="Y67" s="252">
        <f>INDEX(Emissions_Lookup_35mph!$B$6:$H$51,MATCH('Intermediate Calcs'!Y$2,Emissions_Lookup_35mph!$A$6:$A$51,0),MATCH('Intermediate Calcs'!$D67,Emissions_Lookup_35mph!$B$5:$H$5,0))*Y$3</f>
        <v>2.5425377330779992E-4</v>
      </c>
      <c r="Z67" s="252">
        <f>INDEX(Emissions_Lookup_35mph!$B$6:$H$51,MATCH('Intermediate Calcs'!Z$2,Emissions_Lookup_35mph!$A$6:$A$51,0),MATCH('Intermediate Calcs'!$D67,Emissions_Lookup_35mph!$B$5:$H$5,0))*Z$3</f>
        <v>2.5226210947036708E-4</v>
      </c>
      <c r="AA67" s="252">
        <f>INDEX(Emissions_Lookup_35mph!$B$6:$H$51,MATCH('Intermediate Calcs'!AA$2,Emissions_Lookup_35mph!$A$6:$A$51,0),MATCH('Intermediate Calcs'!$D67,Emissions_Lookup_35mph!$B$5:$H$5,0))*AA$3</f>
        <v>2.5027044563293423E-4</v>
      </c>
      <c r="AB67" s="252">
        <f>INDEX(Emissions_Lookup_35mph!$B$6:$H$51,MATCH('Intermediate Calcs'!AB$2,Emissions_Lookup_35mph!$A$6:$A$51,0),MATCH('Intermediate Calcs'!$D67,Emissions_Lookup_35mph!$B$5:$H$5,0))*AB$3</f>
        <v>2.4827878179550138E-4</v>
      </c>
      <c r="AC67" s="252">
        <f>INDEX(Emissions_Lookup_35mph!$B$6:$H$51,MATCH('Intermediate Calcs'!AC$2,Emissions_Lookup_35mph!$A$6:$A$51,0),MATCH('Intermediate Calcs'!$D67,Emissions_Lookup_35mph!$B$5:$H$5,0))*AC$3</f>
        <v>2.4628711795806842E-4</v>
      </c>
      <c r="AD67" s="252">
        <f>INDEX(Emissions_Lookup_35mph!$B$6:$H$51,MATCH('Intermediate Calcs'!AD$2,Emissions_Lookup_35mph!$A$6:$A$51,0),MATCH('Intermediate Calcs'!$D67,Emissions_Lookup_35mph!$B$5:$H$5,0))*AD$3</f>
        <v>2.456292124748226E-4</v>
      </c>
      <c r="AE67" s="252">
        <f>INDEX(Emissions_Lookup_35mph!$B$6:$H$51,MATCH('Intermediate Calcs'!AE$2,Emissions_Lookup_35mph!$A$6:$A$51,0),MATCH('Intermediate Calcs'!$D67,Emissions_Lookup_35mph!$B$5:$H$5,0))*AE$3</f>
        <v>2.4497130699157677E-4</v>
      </c>
      <c r="AF67" s="252">
        <f>INDEX(Emissions_Lookup_35mph!$B$6:$H$51,MATCH('Intermediate Calcs'!AF$2,Emissions_Lookup_35mph!$A$6:$A$51,0),MATCH('Intermediate Calcs'!$D67,Emissions_Lookup_35mph!$B$5:$H$5,0))*AF$3</f>
        <v>2.4431340150833094E-4</v>
      </c>
      <c r="AG67" s="252">
        <f>INDEX(Emissions_Lookup_35mph!$B$6:$H$51,MATCH('Intermediate Calcs'!AG$2,Emissions_Lookup_35mph!$A$6:$A$51,0),MATCH('Intermediate Calcs'!$D67,Emissions_Lookup_35mph!$B$5:$H$5,0))*AG$3</f>
        <v>2.4365549602508508E-4</v>
      </c>
      <c r="AH67" s="252">
        <f>INDEX(Emissions_Lookup_35mph!$B$6:$H$51,MATCH('Intermediate Calcs'!AH$2,Emissions_Lookup_35mph!$A$6:$A$51,0),MATCH('Intermediate Calcs'!$D67,Emissions_Lookup_35mph!$B$5:$H$5,0))*AH$3</f>
        <v>2.4299759054183923E-4</v>
      </c>
      <c r="AI67" s="252">
        <f>INDEX(Emissions_Lookup_35mph!$B$6:$H$51,MATCH('Intermediate Calcs'!AI$2,Emissions_Lookup_35mph!$A$6:$A$51,0),MATCH('Intermediate Calcs'!$D67,Emissions_Lookup_35mph!$B$5:$H$5,0))*AI$3</f>
        <v>2.4233968505859337E-4</v>
      </c>
      <c r="AJ67" s="252">
        <f>INDEX(Emissions_Lookup_35mph!$B$6:$H$51,MATCH('Intermediate Calcs'!AJ$2,Emissions_Lookup_35mph!$A$6:$A$51,0),MATCH('Intermediate Calcs'!$D67,Emissions_Lookup_35mph!$B$5:$H$5,0))*AJ$3</f>
        <v>0</v>
      </c>
      <c r="AK67" s="252">
        <f>INDEX(Emissions_Lookup_35mph!$B$6:$H$51,MATCH('Intermediate Calcs'!AK$2,Emissions_Lookup_35mph!$A$6:$A$51,0),MATCH('Intermediate Calcs'!$D67,Emissions_Lookup_35mph!$B$5:$H$5,0))*AK$3</f>
        <v>0</v>
      </c>
      <c r="AL67" s="252">
        <f>INDEX(Emissions_Lookup_35mph!$B$6:$H$51,MATCH('Intermediate Calcs'!AL$2,Emissions_Lookup_35mph!$A$6:$A$51,0),MATCH('Intermediate Calcs'!$D67,Emissions_Lookup_35mph!$B$5:$H$5,0))*AL$3</f>
        <v>0</v>
      </c>
      <c r="AM67" s="252">
        <f>INDEX(Emissions_Lookup_35mph!$B$6:$H$51,MATCH('Intermediate Calcs'!AM$2,Emissions_Lookup_35mph!$A$6:$A$51,0),MATCH('Intermediate Calcs'!$D67,Emissions_Lookup_35mph!$B$5:$H$5,0))*AM$3</f>
        <v>0</v>
      </c>
      <c r="AN67" s="252">
        <f>INDEX(Emissions_Lookup_35mph!$B$6:$H$51,MATCH('Intermediate Calcs'!AN$2,Emissions_Lookup_35mph!$A$6:$A$51,0),MATCH('Intermediate Calcs'!$D67,Emissions_Lookup_35mph!$B$5:$H$5,0))*AN$3</f>
        <v>0</v>
      </c>
      <c r="AO67" s="252">
        <f>INDEX(Emissions_Lookup_35mph!$B$6:$H$51,MATCH('Intermediate Calcs'!AO$2,Emissions_Lookup_35mph!$A$6:$A$51,0),MATCH('Intermediate Calcs'!$D67,Emissions_Lookup_35mph!$B$5:$H$5,0))*AO$3</f>
        <v>0</v>
      </c>
      <c r="AP67" s="252">
        <f>INDEX(Emissions_Lookup_35mph!$B$6:$H$51,MATCH('Intermediate Calcs'!AP$2,Emissions_Lookup_35mph!$A$6:$A$51,0),MATCH('Intermediate Calcs'!$D67,Emissions_Lookup_35mph!$B$5:$H$5,0))*AP$3</f>
        <v>0</v>
      </c>
      <c r="AQ67" s="252">
        <f>INDEX(Emissions_Lookup_35mph!$B$6:$H$51,MATCH('Intermediate Calcs'!AQ$2,Emissions_Lookup_35mph!$A$6:$A$51,0),MATCH('Intermediate Calcs'!$D67,Emissions_Lookup_35mph!$B$5:$H$5,0))*AQ$3</f>
        <v>0</v>
      </c>
      <c r="AR67" s="252">
        <f>INDEX(Emissions_Lookup_35mph!$B$6:$H$51,MATCH('Intermediate Calcs'!AR$2,Emissions_Lookup_35mph!$A$6:$A$51,0),MATCH('Intermediate Calcs'!$D67,Emissions_Lookup_35mph!$B$5:$H$5,0))*AR$3</f>
        <v>0</v>
      </c>
      <c r="AS67" s="252">
        <f>INDEX(Emissions_Lookup_35mph!$B$6:$H$51,MATCH('Intermediate Calcs'!AS$2,Emissions_Lookup_35mph!$A$6:$A$51,0),MATCH('Intermediate Calcs'!$D67,Emissions_Lookup_35mph!$B$5:$H$5,0))*AS$3</f>
        <v>0</v>
      </c>
      <c r="AT67" s="252">
        <f>INDEX(Emissions_Lookup_35mph!$B$6:$H$51,MATCH('Intermediate Calcs'!AT$2,Emissions_Lookup_35mph!$A$6:$A$51,0),MATCH('Intermediate Calcs'!$D67,Emissions_Lookup_35mph!$B$5:$H$5,0))*AT$3</f>
        <v>0</v>
      </c>
      <c r="AU67" s="252">
        <f>INDEX(Emissions_Lookup_35mph!$B$6:$H$51,MATCH('Intermediate Calcs'!AU$2,Emissions_Lookup_35mph!$A$6:$A$51,0),MATCH('Intermediate Calcs'!$D67,Emissions_Lookup_35mph!$B$5:$H$5,0))*AU$3</f>
        <v>0</v>
      </c>
      <c r="AV67" s="252">
        <f>INDEX(Emissions_Lookup_35mph!$B$6:$H$51,MATCH('Intermediate Calcs'!AV$2,Emissions_Lookup_35mph!$A$6:$A$51,0),MATCH('Intermediate Calcs'!$D67,Emissions_Lookup_35mph!$B$5:$H$5,0))*AV$3</f>
        <v>0</v>
      </c>
      <c r="AW67" s="252">
        <f>INDEX(Emissions_Lookup_35mph!$B$6:$H$51,MATCH('Intermediate Calcs'!AW$2,Emissions_Lookup_35mph!$A$6:$A$51,0),MATCH('Intermediate Calcs'!$D67,Emissions_Lookup_35mph!$B$5:$H$5,0))*AW$3</f>
        <v>0</v>
      </c>
      <c r="AX67" s="252">
        <f>INDEX(Emissions_Lookup_35mph!$B$6:$H$51,MATCH('Intermediate Calcs'!AX$2,Emissions_Lookup_35mph!$A$6:$A$51,0),MATCH('Intermediate Calcs'!$D67,Emissions_Lookup_35mph!$B$5:$H$5,0))*AX$3</f>
        <v>0</v>
      </c>
      <c r="AY67" s="252">
        <f>INDEX(Emissions_Lookup_35mph!$B$6:$H$51,MATCH('Intermediate Calcs'!AY$2,Emissions_Lookup_35mph!$A$6:$A$51,0),MATCH('Intermediate Calcs'!$D67,Emissions_Lookup_35mph!$B$5:$H$5,0))*AY$3</f>
        <v>0</v>
      </c>
      <c r="AZ67" s="252">
        <f>INDEX(Emissions_Lookup_35mph!$B$6:$H$51,MATCH('Intermediate Calcs'!AZ$2,Emissions_Lookup_35mph!$A$6:$A$51,0),MATCH('Intermediate Calcs'!$D67,Emissions_Lookup_35mph!$B$5:$H$5,0))*AZ$3</f>
        <v>0</v>
      </c>
      <c r="BA67" s="252">
        <f>INDEX(Emissions_Lookup_35mph!$B$6:$H$51,MATCH('Intermediate Calcs'!BA$2,Emissions_Lookup_35mph!$A$6:$A$51,0),MATCH('Intermediate Calcs'!$D67,Emissions_Lookup_35mph!$B$5:$H$5,0))*BA$3</f>
        <v>0</v>
      </c>
      <c r="BB67" s="252">
        <f>INDEX(Emissions_Lookup_35mph!$B$6:$H$51,MATCH('Intermediate Calcs'!BB$2,Emissions_Lookup_35mph!$A$6:$A$51,0),MATCH('Intermediate Calcs'!$D67,Emissions_Lookup_35mph!$B$5:$H$5,0))*BB$3</f>
        <v>0</v>
      </c>
    </row>
    <row r="68" spans="4:54">
      <c r="D68" s="250" t="s">
        <v>19</v>
      </c>
      <c r="E68" s="36" t="s">
        <v>203</v>
      </c>
      <c r="F68"/>
      <c r="G68" s="19" t="s">
        <v>202</v>
      </c>
      <c r="H68" s="71"/>
      <c r="I68" s="252">
        <f>INDEX(Emissions_Lookup_35mph!$B$6:$H$51,MATCH('Intermediate Calcs'!I$2,Emissions_Lookup_35mph!$A$6:$A$51,0),MATCH('Intermediate Calcs'!$D68,Emissions_Lookup_35mph!$B$5:$H$5,0))*I$3</f>
        <v>0</v>
      </c>
      <c r="J68" s="252">
        <f>INDEX(Emissions_Lookup_35mph!$B$6:$H$51,MATCH('Intermediate Calcs'!J$2,Emissions_Lookup_35mph!$A$6:$A$51,0),MATCH('Intermediate Calcs'!$D68,Emissions_Lookup_35mph!$B$5:$H$5,0))*J$3</f>
        <v>0</v>
      </c>
      <c r="K68" s="252">
        <f>INDEX(Emissions_Lookup_35mph!$B$6:$H$51,MATCH('Intermediate Calcs'!K$2,Emissions_Lookup_35mph!$A$6:$A$51,0),MATCH('Intermediate Calcs'!$D68,Emissions_Lookup_35mph!$B$5:$H$5,0))*K$3</f>
        <v>0</v>
      </c>
      <c r="L68" s="252">
        <f>INDEX(Emissions_Lookup_35mph!$B$6:$H$51,MATCH('Intermediate Calcs'!L$2,Emissions_Lookup_35mph!$A$6:$A$51,0),MATCH('Intermediate Calcs'!$D68,Emissions_Lookup_35mph!$B$5:$H$5,0))*L$3</f>
        <v>0</v>
      </c>
      <c r="M68" s="252">
        <f>INDEX(Emissions_Lookup_35mph!$B$6:$H$51,MATCH('Intermediate Calcs'!M$2,Emissions_Lookup_35mph!$A$6:$A$51,0),MATCH('Intermediate Calcs'!$D68,Emissions_Lookup_35mph!$B$5:$H$5,0))*M$3</f>
        <v>0</v>
      </c>
      <c r="N68" s="252">
        <f>INDEX(Emissions_Lookup_35mph!$B$6:$H$51,MATCH('Intermediate Calcs'!N$2,Emissions_Lookup_35mph!$A$6:$A$51,0),MATCH('Intermediate Calcs'!$D68,Emissions_Lookup_35mph!$B$5:$H$5,0))*N$3</f>
        <v>0</v>
      </c>
      <c r="O68" s="252">
        <f>INDEX(Emissions_Lookup_35mph!$B$6:$H$51,MATCH('Intermediate Calcs'!O$2,Emissions_Lookup_35mph!$A$6:$A$51,0),MATCH('Intermediate Calcs'!$D68,Emissions_Lookup_35mph!$B$5:$H$5,0))*O$3</f>
        <v>0</v>
      </c>
      <c r="P68" s="252">
        <f>INDEX(Emissions_Lookup_35mph!$B$6:$H$51,MATCH('Intermediate Calcs'!P$2,Emissions_Lookup_35mph!$A$6:$A$51,0),MATCH('Intermediate Calcs'!$D68,Emissions_Lookup_35mph!$B$5:$H$5,0))*P$3</f>
        <v>2.8713750264883877E-8</v>
      </c>
      <c r="Q68" s="252">
        <f>INDEX(Emissions_Lookup_35mph!$B$6:$H$51,MATCH('Intermediate Calcs'!Q$2,Emissions_Lookup_35mph!$A$6:$A$51,0),MATCH('Intermediate Calcs'!$D68,Emissions_Lookup_35mph!$B$5:$H$5,0))*Q$3</f>
        <v>3.2718529662036321E-8</v>
      </c>
      <c r="R68" s="252">
        <f>INDEX(Emissions_Lookup_35mph!$B$6:$H$51,MATCH('Intermediate Calcs'!R$2,Emissions_Lookup_35mph!$A$6:$A$51,0),MATCH('Intermediate Calcs'!$D68,Emissions_Lookup_35mph!$B$5:$H$5,0))*R$3</f>
        <v>2.7152058970894141E-8</v>
      </c>
      <c r="S68" s="252">
        <f>INDEX(Emissions_Lookup_35mph!$B$6:$H$51,MATCH('Intermediate Calcs'!S$2,Emissions_Lookup_35mph!$A$6:$A$51,0),MATCH('Intermediate Calcs'!$D68,Emissions_Lookup_35mph!$B$5:$H$5,0))*S$3</f>
        <v>2.158558827975196E-8</v>
      </c>
      <c r="T68" s="252">
        <f>INDEX(Emissions_Lookup_35mph!$B$6:$H$51,MATCH('Intermediate Calcs'!T$2,Emissions_Lookup_35mph!$A$6:$A$51,0),MATCH('Intermediate Calcs'!$D68,Emissions_Lookup_35mph!$B$5:$H$5,0))*T$3</f>
        <v>1.9813429001741918E-8</v>
      </c>
      <c r="U68" s="252">
        <f>INDEX(Emissions_Lookup_35mph!$B$6:$H$51,MATCH('Intermediate Calcs'!U$2,Emissions_Lookup_35mph!$A$6:$A$51,0),MATCH('Intermediate Calcs'!$D68,Emissions_Lookup_35mph!$B$5:$H$5,0))*U$3</f>
        <v>1.8041269723731875E-8</v>
      </c>
      <c r="V68" s="252">
        <f>INDEX(Emissions_Lookup_35mph!$B$6:$H$51,MATCH('Intermediate Calcs'!V$2,Emissions_Lookup_35mph!$A$6:$A$51,0),MATCH('Intermediate Calcs'!$D68,Emissions_Lookup_35mph!$B$5:$H$5,0))*V$3</f>
        <v>1.6269110445721833E-8</v>
      </c>
      <c r="W68" s="252">
        <f>INDEX(Emissions_Lookup_35mph!$B$6:$H$51,MATCH('Intermediate Calcs'!W$2,Emissions_Lookup_35mph!$A$6:$A$51,0),MATCH('Intermediate Calcs'!$D68,Emissions_Lookup_35mph!$B$5:$H$5,0))*W$3</f>
        <v>1.4496951167711792E-8</v>
      </c>
      <c r="X68" s="252">
        <f>INDEX(Emissions_Lookup_35mph!$B$6:$H$51,MATCH('Intermediate Calcs'!X$2,Emissions_Lookup_35mph!$A$6:$A$51,0),MATCH('Intermediate Calcs'!$D68,Emissions_Lookup_35mph!$B$5:$H$5,0))*X$3</f>
        <v>1.2724791889701752E-8</v>
      </c>
      <c r="Y68" s="252">
        <f>INDEX(Emissions_Lookup_35mph!$B$6:$H$51,MATCH('Intermediate Calcs'!Y$2,Emissions_Lookup_35mph!$A$6:$A$51,0),MATCH('Intermediate Calcs'!$D68,Emissions_Lookup_35mph!$B$5:$H$5,0))*Y$3</f>
        <v>1.0952632611691711E-8</v>
      </c>
      <c r="Z68" s="252">
        <f>INDEX(Emissions_Lookup_35mph!$B$6:$H$51,MATCH('Intermediate Calcs'!Z$2,Emissions_Lookup_35mph!$A$6:$A$51,0),MATCH('Intermediate Calcs'!$D68,Emissions_Lookup_35mph!$B$5:$H$5,0))*Z$3</f>
        <v>9.1804733336816701E-9</v>
      </c>
      <c r="AA68" s="252">
        <f>INDEX(Emissions_Lookup_35mph!$B$6:$H$51,MATCH('Intermediate Calcs'!AA$2,Emissions_Lookup_35mph!$A$6:$A$51,0),MATCH('Intermediate Calcs'!$D68,Emissions_Lookup_35mph!$B$5:$H$5,0))*AA$3</f>
        <v>7.4083140556716293E-9</v>
      </c>
      <c r="AB68" s="252">
        <f>INDEX(Emissions_Lookup_35mph!$B$6:$H$51,MATCH('Intermediate Calcs'!AB$2,Emissions_Lookup_35mph!$A$6:$A$51,0),MATCH('Intermediate Calcs'!$D68,Emissions_Lookup_35mph!$B$5:$H$5,0))*AB$3</f>
        <v>5.6361547776615885E-9</v>
      </c>
      <c r="AC68" s="252">
        <f>INDEX(Emissions_Lookup_35mph!$B$6:$H$51,MATCH('Intermediate Calcs'!AC$2,Emissions_Lookup_35mph!$A$6:$A$51,0),MATCH('Intermediate Calcs'!$D68,Emissions_Lookup_35mph!$B$5:$H$5,0))*AC$3</f>
        <v>3.8639954996515495E-9</v>
      </c>
      <c r="AD68" s="252">
        <f>INDEX(Emissions_Lookup_35mph!$B$6:$H$51,MATCH('Intermediate Calcs'!AD$2,Emissions_Lookup_35mph!$A$6:$A$51,0),MATCH('Intermediate Calcs'!$D68,Emissions_Lookup_35mph!$B$5:$H$5,0))*AD$3</f>
        <v>3.7059198926575813E-9</v>
      </c>
      <c r="AE68" s="252">
        <f>INDEX(Emissions_Lookup_35mph!$B$6:$H$51,MATCH('Intermediate Calcs'!AE$2,Emissions_Lookup_35mph!$A$6:$A$51,0),MATCH('Intermediate Calcs'!$D68,Emissions_Lookup_35mph!$B$5:$H$5,0))*AE$3</f>
        <v>3.5478442856636131E-9</v>
      </c>
      <c r="AF68" s="252">
        <f>INDEX(Emissions_Lookup_35mph!$B$6:$H$51,MATCH('Intermediate Calcs'!AF$2,Emissions_Lookup_35mph!$A$6:$A$51,0),MATCH('Intermediate Calcs'!$D68,Emissions_Lookup_35mph!$B$5:$H$5,0))*AF$3</f>
        <v>3.3897686786696449E-9</v>
      </c>
      <c r="AG68" s="252">
        <f>INDEX(Emissions_Lookup_35mph!$B$6:$H$51,MATCH('Intermediate Calcs'!AG$2,Emissions_Lookup_35mph!$A$6:$A$51,0),MATCH('Intermediate Calcs'!$D68,Emissions_Lookup_35mph!$B$5:$H$5,0))*AG$3</f>
        <v>3.2316930716756767E-9</v>
      </c>
      <c r="AH68" s="252">
        <f>INDEX(Emissions_Lookup_35mph!$B$6:$H$51,MATCH('Intermediate Calcs'!AH$2,Emissions_Lookup_35mph!$A$6:$A$51,0),MATCH('Intermediate Calcs'!$D68,Emissions_Lookup_35mph!$B$5:$H$5,0))*AH$3</f>
        <v>3.0736174646817085E-9</v>
      </c>
      <c r="AI68" s="252">
        <f>INDEX(Emissions_Lookup_35mph!$B$6:$H$51,MATCH('Intermediate Calcs'!AI$2,Emissions_Lookup_35mph!$A$6:$A$51,0),MATCH('Intermediate Calcs'!$D68,Emissions_Lookup_35mph!$B$5:$H$5,0))*AI$3</f>
        <v>2.9155418576877403E-9</v>
      </c>
      <c r="AJ68" s="252">
        <f>INDEX(Emissions_Lookup_35mph!$B$6:$H$51,MATCH('Intermediate Calcs'!AJ$2,Emissions_Lookup_35mph!$A$6:$A$51,0),MATCH('Intermediate Calcs'!$D68,Emissions_Lookup_35mph!$B$5:$H$5,0))*AJ$3</f>
        <v>0</v>
      </c>
      <c r="AK68" s="252">
        <f>INDEX(Emissions_Lookup_35mph!$B$6:$H$51,MATCH('Intermediate Calcs'!AK$2,Emissions_Lookup_35mph!$A$6:$A$51,0),MATCH('Intermediate Calcs'!$D68,Emissions_Lookup_35mph!$B$5:$H$5,0))*AK$3</f>
        <v>0</v>
      </c>
      <c r="AL68" s="252">
        <f>INDEX(Emissions_Lookup_35mph!$B$6:$H$51,MATCH('Intermediate Calcs'!AL$2,Emissions_Lookup_35mph!$A$6:$A$51,0),MATCH('Intermediate Calcs'!$D68,Emissions_Lookup_35mph!$B$5:$H$5,0))*AL$3</f>
        <v>0</v>
      </c>
      <c r="AM68" s="252">
        <f>INDEX(Emissions_Lookup_35mph!$B$6:$H$51,MATCH('Intermediate Calcs'!AM$2,Emissions_Lookup_35mph!$A$6:$A$51,0),MATCH('Intermediate Calcs'!$D68,Emissions_Lookup_35mph!$B$5:$H$5,0))*AM$3</f>
        <v>0</v>
      </c>
      <c r="AN68" s="252">
        <f>INDEX(Emissions_Lookup_35mph!$B$6:$H$51,MATCH('Intermediate Calcs'!AN$2,Emissions_Lookup_35mph!$A$6:$A$51,0),MATCH('Intermediate Calcs'!$D68,Emissions_Lookup_35mph!$B$5:$H$5,0))*AN$3</f>
        <v>0</v>
      </c>
      <c r="AO68" s="252">
        <f>INDEX(Emissions_Lookup_35mph!$B$6:$H$51,MATCH('Intermediate Calcs'!AO$2,Emissions_Lookup_35mph!$A$6:$A$51,0),MATCH('Intermediate Calcs'!$D68,Emissions_Lookup_35mph!$B$5:$H$5,0))*AO$3</f>
        <v>0</v>
      </c>
      <c r="AP68" s="252">
        <f>INDEX(Emissions_Lookup_35mph!$B$6:$H$51,MATCH('Intermediate Calcs'!AP$2,Emissions_Lookup_35mph!$A$6:$A$51,0),MATCH('Intermediate Calcs'!$D68,Emissions_Lookup_35mph!$B$5:$H$5,0))*AP$3</f>
        <v>0</v>
      </c>
      <c r="AQ68" s="252">
        <f>INDEX(Emissions_Lookup_35mph!$B$6:$H$51,MATCH('Intermediate Calcs'!AQ$2,Emissions_Lookup_35mph!$A$6:$A$51,0),MATCH('Intermediate Calcs'!$D68,Emissions_Lookup_35mph!$B$5:$H$5,0))*AQ$3</f>
        <v>0</v>
      </c>
      <c r="AR68" s="252">
        <f>INDEX(Emissions_Lookup_35mph!$B$6:$H$51,MATCH('Intermediate Calcs'!AR$2,Emissions_Lookup_35mph!$A$6:$A$51,0),MATCH('Intermediate Calcs'!$D68,Emissions_Lookup_35mph!$B$5:$H$5,0))*AR$3</f>
        <v>0</v>
      </c>
      <c r="AS68" s="252">
        <f>INDEX(Emissions_Lookup_35mph!$B$6:$H$51,MATCH('Intermediate Calcs'!AS$2,Emissions_Lookup_35mph!$A$6:$A$51,0),MATCH('Intermediate Calcs'!$D68,Emissions_Lookup_35mph!$B$5:$H$5,0))*AS$3</f>
        <v>0</v>
      </c>
      <c r="AT68" s="252">
        <f>INDEX(Emissions_Lookup_35mph!$B$6:$H$51,MATCH('Intermediate Calcs'!AT$2,Emissions_Lookup_35mph!$A$6:$A$51,0),MATCH('Intermediate Calcs'!$D68,Emissions_Lookup_35mph!$B$5:$H$5,0))*AT$3</f>
        <v>0</v>
      </c>
      <c r="AU68" s="252">
        <f>INDEX(Emissions_Lookup_35mph!$B$6:$H$51,MATCH('Intermediate Calcs'!AU$2,Emissions_Lookup_35mph!$A$6:$A$51,0),MATCH('Intermediate Calcs'!$D68,Emissions_Lookup_35mph!$B$5:$H$5,0))*AU$3</f>
        <v>0</v>
      </c>
      <c r="AV68" s="252">
        <f>INDEX(Emissions_Lookup_35mph!$B$6:$H$51,MATCH('Intermediate Calcs'!AV$2,Emissions_Lookup_35mph!$A$6:$A$51,0),MATCH('Intermediate Calcs'!$D68,Emissions_Lookup_35mph!$B$5:$H$5,0))*AV$3</f>
        <v>0</v>
      </c>
      <c r="AW68" s="252">
        <f>INDEX(Emissions_Lookup_35mph!$B$6:$H$51,MATCH('Intermediate Calcs'!AW$2,Emissions_Lookup_35mph!$A$6:$A$51,0),MATCH('Intermediate Calcs'!$D68,Emissions_Lookup_35mph!$B$5:$H$5,0))*AW$3</f>
        <v>0</v>
      </c>
      <c r="AX68" s="252">
        <f>INDEX(Emissions_Lookup_35mph!$B$6:$H$51,MATCH('Intermediate Calcs'!AX$2,Emissions_Lookup_35mph!$A$6:$A$51,0),MATCH('Intermediate Calcs'!$D68,Emissions_Lookup_35mph!$B$5:$H$5,0))*AX$3</f>
        <v>0</v>
      </c>
      <c r="AY68" s="252">
        <f>INDEX(Emissions_Lookup_35mph!$B$6:$H$51,MATCH('Intermediate Calcs'!AY$2,Emissions_Lookup_35mph!$A$6:$A$51,0),MATCH('Intermediate Calcs'!$D68,Emissions_Lookup_35mph!$B$5:$H$5,0))*AY$3</f>
        <v>0</v>
      </c>
      <c r="AZ68" s="252">
        <f>INDEX(Emissions_Lookup_35mph!$B$6:$H$51,MATCH('Intermediate Calcs'!AZ$2,Emissions_Lookup_35mph!$A$6:$A$51,0),MATCH('Intermediate Calcs'!$D68,Emissions_Lookup_35mph!$B$5:$H$5,0))*AZ$3</f>
        <v>0</v>
      </c>
      <c r="BA68" s="252">
        <f>INDEX(Emissions_Lookup_35mph!$B$6:$H$51,MATCH('Intermediate Calcs'!BA$2,Emissions_Lookup_35mph!$A$6:$A$51,0),MATCH('Intermediate Calcs'!$D68,Emissions_Lookup_35mph!$B$5:$H$5,0))*BA$3</f>
        <v>0</v>
      </c>
      <c r="BB68" s="252">
        <f>INDEX(Emissions_Lookup_35mph!$B$6:$H$51,MATCH('Intermediate Calcs'!BB$2,Emissions_Lookup_35mph!$A$6:$A$51,0),MATCH('Intermediate Calcs'!$D68,Emissions_Lookup_35mph!$B$5:$H$5,0))*BB$3</f>
        <v>0</v>
      </c>
    </row>
    <row r="69" spans="4:54">
      <c r="D69" s="250" t="s">
        <v>21</v>
      </c>
      <c r="E69" s="36" t="s">
        <v>204</v>
      </c>
      <c r="F69"/>
      <c r="G69" s="19" t="s">
        <v>202</v>
      </c>
      <c r="H69" s="71"/>
      <c r="I69" s="252">
        <f>INDEX(Emissions_Lookup_35mph!$B$6:$H$51,MATCH('Intermediate Calcs'!I$2,Emissions_Lookup_35mph!$A$6:$A$51,0),MATCH('Intermediate Calcs'!$D69,Emissions_Lookup_35mph!$B$5:$H$5,0))*I$3</f>
        <v>0</v>
      </c>
      <c r="J69" s="252">
        <f>INDEX(Emissions_Lookup_35mph!$B$6:$H$51,MATCH('Intermediate Calcs'!J$2,Emissions_Lookup_35mph!$A$6:$A$51,0),MATCH('Intermediate Calcs'!$D69,Emissions_Lookup_35mph!$B$5:$H$5,0))*J$3</f>
        <v>0</v>
      </c>
      <c r="K69" s="252">
        <f>INDEX(Emissions_Lookup_35mph!$B$6:$H$51,MATCH('Intermediate Calcs'!K$2,Emissions_Lookup_35mph!$A$6:$A$51,0),MATCH('Intermediate Calcs'!$D69,Emissions_Lookup_35mph!$B$5:$H$5,0))*K$3</f>
        <v>0</v>
      </c>
      <c r="L69" s="252">
        <f>INDEX(Emissions_Lookup_35mph!$B$6:$H$51,MATCH('Intermediate Calcs'!L$2,Emissions_Lookup_35mph!$A$6:$A$51,0),MATCH('Intermediate Calcs'!$D69,Emissions_Lookup_35mph!$B$5:$H$5,0))*L$3</f>
        <v>0</v>
      </c>
      <c r="M69" s="252">
        <f>INDEX(Emissions_Lookup_35mph!$B$6:$H$51,MATCH('Intermediate Calcs'!M$2,Emissions_Lookup_35mph!$A$6:$A$51,0),MATCH('Intermediate Calcs'!$D69,Emissions_Lookup_35mph!$B$5:$H$5,0))*M$3</f>
        <v>0</v>
      </c>
      <c r="N69" s="252">
        <f>INDEX(Emissions_Lookup_35mph!$B$6:$H$51,MATCH('Intermediate Calcs'!N$2,Emissions_Lookup_35mph!$A$6:$A$51,0),MATCH('Intermediate Calcs'!$D69,Emissions_Lookup_35mph!$B$5:$H$5,0))*N$3</f>
        <v>0</v>
      </c>
      <c r="O69" s="252">
        <f>INDEX(Emissions_Lookup_35mph!$B$6:$H$51,MATCH('Intermediate Calcs'!O$2,Emissions_Lookup_35mph!$A$6:$A$51,0),MATCH('Intermediate Calcs'!$D69,Emissions_Lookup_35mph!$B$5:$H$5,0))*O$3</f>
        <v>0</v>
      </c>
      <c r="P69" s="252">
        <f>INDEX(Emissions_Lookup_35mph!$B$6:$H$51,MATCH('Intermediate Calcs'!P$2,Emissions_Lookup_35mph!$A$6:$A$51,0),MATCH('Intermediate Calcs'!$D69,Emissions_Lookup_35mph!$B$5:$H$5,0))*P$3</f>
        <v>6.5920128292304812E-10</v>
      </c>
      <c r="Q69" s="252">
        <f>INDEX(Emissions_Lookup_35mph!$B$6:$H$51,MATCH('Intermediate Calcs'!Q$2,Emissions_Lookup_35mph!$A$6:$A$51,0),MATCH('Intermediate Calcs'!$D69,Emissions_Lookup_35mph!$B$5:$H$5,0))*Q$3</f>
        <v>8.454691315364449E-10</v>
      </c>
      <c r="R69" s="252">
        <f>INDEX(Emissions_Lookup_35mph!$B$6:$H$51,MATCH('Intermediate Calcs'!R$2,Emissions_Lookup_35mph!$A$6:$A$51,0),MATCH('Intermediate Calcs'!$D69,Emissions_Lookup_35mph!$B$5:$H$5,0))*R$3</f>
        <v>8.1200321917549238E-10</v>
      </c>
      <c r="S69" s="252">
        <f>INDEX(Emissions_Lookup_35mph!$B$6:$H$51,MATCH('Intermediate Calcs'!S$2,Emissions_Lookup_35mph!$A$6:$A$51,0),MATCH('Intermediate Calcs'!$D69,Emissions_Lookup_35mph!$B$5:$H$5,0))*S$3</f>
        <v>7.7853730681453965E-10</v>
      </c>
      <c r="T69" s="252">
        <f>INDEX(Emissions_Lookup_35mph!$B$6:$H$51,MATCH('Intermediate Calcs'!T$2,Emissions_Lookup_35mph!$A$6:$A$51,0),MATCH('Intermediate Calcs'!$D69,Emissions_Lookup_35mph!$B$5:$H$5,0))*T$3</f>
        <v>7.5669098526702563E-10</v>
      </c>
      <c r="U69" s="252">
        <f>INDEX(Emissions_Lookup_35mph!$B$6:$H$51,MATCH('Intermediate Calcs'!U$2,Emissions_Lookup_35mph!$A$6:$A$51,0),MATCH('Intermediate Calcs'!$D69,Emissions_Lookup_35mph!$B$5:$H$5,0))*U$3</f>
        <v>7.3484466371951161E-10</v>
      </c>
      <c r="V69" s="252">
        <f>INDEX(Emissions_Lookup_35mph!$B$6:$H$51,MATCH('Intermediate Calcs'!V$2,Emissions_Lookup_35mph!$A$6:$A$51,0),MATCH('Intermediate Calcs'!$D69,Emissions_Lookup_35mph!$B$5:$H$5,0))*V$3</f>
        <v>7.1299834217199758E-10</v>
      </c>
      <c r="W69" s="252">
        <f>INDEX(Emissions_Lookup_35mph!$B$6:$H$51,MATCH('Intermediate Calcs'!W$2,Emissions_Lookup_35mph!$A$6:$A$51,0),MATCH('Intermediate Calcs'!$D69,Emissions_Lookup_35mph!$B$5:$H$5,0))*W$3</f>
        <v>6.9115202062448356E-10</v>
      </c>
      <c r="X69" s="252">
        <f>INDEX(Emissions_Lookup_35mph!$B$6:$H$51,MATCH('Intermediate Calcs'!X$2,Emissions_Lookup_35mph!$A$6:$A$51,0),MATCH('Intermediate Calcs'!$D69,Emissions_Lookup_35mph!$B$5:$H$5,0))*X$3</f>
        <v>6.6930569907696954E-10</v>
      </c>
      <c r="Y69" s="252">
        <f>INDEX(Emissions_Lookup_35mph!$B$6:$H$51,MATCH('Intermediate Calcs'!Y$2,Emissions_Lookup_35mph!$A$6:$A$51,0),MATCH('Intermediate Calcs'!$D69,Emissions_Lookup_35mph!$B$5:$H$5,0))*Y$3</f>
        <v>6.4745937752945551E-10</v>
      </c>
      <c r="Z69" s="252">
        <f>INDEX(Emissions_Lookup_35mph!$B$6:$H$51,MATCH('Intermediate Calcs'!Z$2,Emissions_Lookup_35mph!$A$6:$A$51,0),MATCH('Intermediate Calcs'!$D69,Emissions_Lookup_35mph!$B$5:$H$5,0))*Z$3</f>
        <v>6.2561305598194149E-10</v>
      </c>
      <c r="AA69" s="252">
        <f>INDEX(Emissions_Lookup_35mph!$B$6:$H$51,MATCH('Intermediate Calcs'!AA$2,Emissions_Lookup_35mph!$A$6:$A$51,0),MATCH('Intermediate Calcs'!$D69,Emissions_Lookup_35mph!$B$5:$H$5,0))*AA$3</f>
        <v>6.0376673443442747E-10</v>
      </c>
      <c r="AB69" s="252">
        <f>INDEX(Emissions_Lookup_35mph!$B$6:$H$51,MATCH('Intermediate Calcs'!AB$2,Emissions_Lookup_35mph!$A$6:$A$51,0),MATCH('Intermediate Calcs'!$D69,Emissions_Lookup_35mph!$B$5:$H$5,0))*AB$3</f>
        <v>5.8192041288691344E-10</v>
      </c>
      <c r="AC69" s="252">
        <f>INDEX(Emissions_Lookup_35mph!$B$6:$H$51,MATCH('Intermediate Calcs'!AC$2,Emissions_Lookup_35mph!$A$6:$A$51,0),MATCH('Intermediate Calcs'!$D69,Emissions_Lookup_35mph!$B$5:$H$5,0))*AC$3</f>
        <v>5.6007409133939942E-10</v>
      </c>
      <c r="AD69" s="252">
        <f>INDEX(Emissions_Lookup_35mph!$B$6:$H$51,MATCH('Intermediate Calcs'!AD$2,Emissions_Lookup_35mph!$A$6:$A$51,0),MATCH('Intermediate Calcs'!$D69,Emissions_Lookup_35mph!$B$5:$H$5,0))*AD$3</f>
        <v>5.5378127644871463E-10</v>
      </c>
      <c r="AE69" s="252">
        <f>INDEX(Emissions_Lookup_35mph!$B$6:$H$51,MATCH('Intermediate Calcs'!AE$2,Emissions_Lookup_35mph!$A$6:$A$51,0),MATCH('Intermediate Calcs'!$D69,Emissions_Lookup_35mph!$B$5:$H$5,0))*AE$3</f>
        <v>5.4748846155802984E-10</v>
      </c>
      <c r="AF69" s="252">
        <f>INDEX(Emissions_Lookup_35mph!$B$6:$H$51,MATCH('Intermediate Calcs'!AF$2,Emissions_Lookup_35mph!$A$6:$A$51,0),MATCH('Intermediate Calcs'!$D69,Emissions_Lookup_35mph!$B$5:$H$5,0))*AF$3</f>
        <v>5.4119564666734506E-10</v>
      </c>
      <c r="AG69" s="252">
        <f>INDEX(Emissions_Lookup_35mph!$B$6:$H$51,MATCH('Intermediate Calcs'!AG$2,Emissions_Lookup_35mph!$A$6:$A$51,0),MATCH('Intermediate Calcs'!$D69,Emissions_Lookup_35mph!$B$5:$H$5,0))*AG$3</f>
        <v>5.3490283177666027E-10</v>
      </c>
      <c r="AH69" s="252">
        <f>INDEX(Emissions_Lookup_35mph!$B$6:$H$51,MATCH('Intermediate Calcs'!AH$2,Emissions_Lookup_35mph!$A$6:$A$51,0),MATCH('Intermediate Calcs'!$D69,Emissions_Lookup_35mph!$B$5:$H$5,0))*AH$3</f>
        <v>5.2861001688597548E-10</v>
      </c>
      <c r="AI69" s="252">
        <f>INDEX(Emissions_Lookup_35mph!$B$6:$H$51,MATCH('Intermediate Calcs'!AI$2,Emissions_Lookup_35mph!$A$6:$A$51,0),MATCH('Intermediate Calcs'!$D69,Emissions_Lookup_35mph!$B$5:$H$5,0))*AI$3</f>
        <v>5.2231720199529069E-10</v>
      </c>
      <c r="AJ69" s="252">
        <f>INDEX(Emissions_Lookup_35mph!$B$6:$H$51,MATCH('Intermediate Calcs'!AJ$2,Emissions_Lookup_35mph!$A$6:$A$51,0),MATCH('Intermediate Calcs'!$D69,Emissions_Lookup_35mph!$B$5:$H$5,0))*AJ$3</f>
        <v>0</v>
      </c>
      <c r="AK69" s="252">
        <f>INDEX(Emissions_Lookup_35mph!$B$6:$H$51,MATCH('Intermediate Calcs'!AK$2,Emissions_Lookup_35mph!$A$6:$A$51,0),MATCH('Intermediate Calcs'!$D69,Emissions_Lookup_35mph!$B$5:$H$5,0))*AK$3</f>
        <v>0</v>
      </c>
      <c r="AL69" s="252">
        <f>INDEX(Emissions_Lookup_35mph!$B$6:$H$51,MATCH('Intermediate Calcs'!AL$2,Emissions_Lookup_35mph!$A$6:$A$51,0),MATCH('Intermediate Calcs'!$D69,Emissions_Lookup_35mph!$B$5:$H$5,0))*AL$3</f>
        <v>0</v>
      </c>
      <c r="AM69" s="252">
        <f>INDEX(Emissions_Lookup_35mph!$B$6:$H$51,MATCH('Intermediate Calcs'!AM$2,Emissions_Lookup_35mph!$A$6:$A$51,0),MATCH('Intermediate Calcs'!$D69,Emissions_Lookup_35mph!$B$5:$H$5,0))*AM$3</f>
        <v>0</v>
      </c>
      <c r="AN69" s="252">
        <f>INDEX(Emissions_Lookup_35mph!$B$6:$H$51,MATCH('Intermediate Calcs'!AN$2,Emissions_Lookup_35mph!$A$6:$A$51,0),MATCH('Intermediate Calcs'!$D69,Emissions_Lookup_35mph!$B$5:$H$5,0))*AN$3</f>
        <v>0</v>
      </c>
      <c r="AO69" s="252">
        <f>INDEX(Emissions_Lookup_35mph!$B$6:$H$51,MATCH('Intermediate Calcs'!AO$2,Emissions_Lookup_35mph!$A$6:$A$51,0),MATCH('Intermediate Calcs'!$D69,Emissions_Lookup_35mph!$B$5:$H$5,0))*AO$3</f>
        <v>0</v>
      </c>
      <c r="AP69" s="252">
        <f>INDEX(Emissions_Lookup_35mph!$B$6:$H$51,MATCH('Intermediate Calcs'!AP$2,Emissions_Lookup_35mph!$A$6:$A$51,0),MATCH('Intermediate Calcs'!$D69,Emissions_Lookup_35mph!$B$5:$H$5,0))*AP$3</f>
        <v>0</v>
      </c>
      <c r="AQ69" s="252">
        <f>INDEX(Emissions_Lookup_35mph!$B$6:$H$51,MATCH('Intermediate Calcs'!AQ$2,Emissions_Lookup_35mph!$A$6:$A$51,0),MATCH('Intermediate Calcs'!$D69,Emissions_Lookup_35mph!$B$5:$H$5,0))*AQ$3</f>
        <v>0</v>
      </c>
      <c r="AR69" s="252">
        <f>INDEX(Emissions_Lookup_35mph!$B$6:$H$51,MATCH('Intermediate Calcs'!AR$2,Emissions_Lookup_35mph!$A$6:$A$51,0),MATCH('Intermediate Calcs'!$D69,Emissions_Lookup_35mph!$B$5:$H$5,0))*AR$3</f>
        <v>0</v>
      </c>
      <c r="AS69" s="252">
        <f>INDEX(Emissions_Lookup_35mph!$B$6:$H$51,MATCH('Intermediate Calcs'!AS$2,Emissions_Lookup_35mph!$A$6:$A$51,0),MATCH('Intermediate Calcs'!$D69,Emissions_Lookup_35mph!$B$5:$H$5,0))*AS$3</f>
        <v>0</v>
      </c>
      <c r="AT69" s="252">
        <f>INDEX(Emissions_Lookup_35mph!$B$6:$H$51,MATCH('Intermediate Calcs'!AT$2,Emissions_Lookup_35mph!$A$6:$A$51,0),MATCH('Intermediate Calcs'!$D69,Emissions_Lookup_35mph!$B$5:$H$5,0))*AT$3</f>
        <v>0</v>
      </c>
      <c r="AU69" s="252">
        <f>INDEX(Emissions_Lookup_35mph!$B$6:$H$51,MATCH('Intermediate Calcs'!AU$2,Emissions_Lookup_35mph!$A$6:$A$51,0),MATCH('Intermediate Calcs'!$D69,Emissions_Lookup_35mph!$B$5:$H$5,0))*AU$3</f>
        <v>0</v>
      </c>
      <c r="AV69" s="252">
        <f>INDEX(Emissions_Lookup_35mph!$B$6:$H$51,MATCH('Intermediate Calcs'!AV$2,Emissions_Lookup_35mph!$A$6:$A$51,0),MATCH('Intermediate Calcs'!$D69,Emissions_Lookup_35mph!$B$5:$H$5,0))*AV$3</f>
        <v>0</v>
      </c>
      <c r="AW69" s="252">
        <f>INDEX(Emissions_Lookup_35mph!$B$6:$H$51,MATCH('Intermediate Calcs'!AW$2,Emissions_Lookup_35mph!$A$6:$A$51,0),MATCH('Intermediate Calcs'!$D69,Emissions_Lookup_35mph!$B$5:$H$5,0))*AW$3</f>
        <v>0</v>
      </c>
      <c r="AX69" s="252">
        <f>INDEX(Emissions_Lookup_35mph!$B$6:$H$51,MATCH('Intermediate Calcs'!AX$2,Emissions_Lookup_35mph!$A$6:$A$51,0),MATCH('Intermediate Calcs'!$D69,Emissions_Lookup_35mph!$B$5:$H$5,0))*AX$3</f>
        <v>0</v>
      </c>
      <c r="AY69" s="252">
        <f>INDEX(Emissions_Lookup_35mph!$B$6:$H$51,MATCH('Intermediate Calcs'!AY$2,Emissions_Lookup_35mph!$A$6:$A$51,0),MATCH('Intermediate Calcs'!$D69,Emissions_Lookup_35mph!$B$5:$H$5,0))*AY$3</f>
        <v>0</v>
      </c>
      <c r="AZ69" s="252">
        <f>INDEX(Emissions_Lookup_35mph!$B$6:$H$51,MATCH('Intermediate Calcs'!AZ$2,Emissions_Lookup_35mph!$A$6:$A$51,0),MATCH('Intermediate Calcs'!$D69,Emissions_Lookup_35mph!$B$5:$H$5,0))*AZ$3</f>
        <v>0</v>
      </c>
      <c r="BA69" s="252">
        <f>INDEX(Emissions_Lookup_35mph!$B$6:$H$51,MATCH('Intermediate Calcs'!BA$2,Emissions_Lookup_35mph!$A$6:$A$51,0),MATCH('Intermediate Calcs'!$D69,Emissions_Lookup_35mph!$B$5:$H$5,0))*BA$3</f>
        <v>0</v>
      </c>
      <c r="BB69" s="252">
        <f>INDEX(Emissions_Lookup_35mph!$B$6:$H$51,MATCH('Intermediate Calcs'!BB$2,Emissions_Lookup_35mph!$A$6:$A$51,0),MATCH('Intermediate Calcs'!$D69,Emissions_Lookup_35mph!$B$5:$H$5,0))*BB$3</f>
        <v>0</v>
      </c>
    </row>
    <row r="70" spans="4:54">
      <c r="D70" s="250" t="s">
        <v>205</v>
      </c>
      <c r="E70" s="36" t="s">
        <v>206</v>
      </c>
      <c r="F70"/>
      <c r="G70" s="19" t="s">
        <v>202</v>
      </c>
      <c r="H70" s="71"/>
      <c r="I70" s="252">
        <f>INDEX(Emissions_Lookup_35mph!$B$6:$H$51,MATCH('Intermediate Calcs'!I$2,Emissions_Lookup_35mph!$A$6:$A$51,0),MATCH('Intermediate Calcs'!$D70,Emissions_Lookup_35mph!$B$5:$H$5,0))*I$3</f>
        <v>0</v>
      </c>
      <c r="J70" s="252">
        <f>INDEX(Emissions_Lookup_35mph!$B$6:$H$51,MATCH('Intermediate Calcs'!J$2,Emissions_Lookup_35mph!$A$6:$A$51,0),MATCH('Intermediate Calcs'!$D70,Emissions_Lookup_35mph!$B$5:$H$5,0))*J$3</f>
        <v>0</v>
      </c>
      <c r="K70" s="252">
        <f>INDEX(Emissions_Lookup_35mph!$B$6:$H$51,MATCH('Intermediate Calcs'!K$2,Emissions_Lookup_35mph!$A$6:$A$51,0),MATCH('Intermediate Calcs'!$D70,Emissions_Lookup_35mph!$B$5:$H$5,0))*K$3</f>
        <v>0</v>
      </c>
      <c r="L70" s="252">
        <f>INDEX(Emissions_Lookup_35mph!$B$6:$H$51,MATCH('Intermediate Calcs'!L$2,Emissions_Lookup_35mph!$A$6:$A$51,0),MATCH('Intermediate Calcs'!$D70,Emissions_Lookup_35mph!$B$5:$H$5,0))*L$3</f>
        <v>0</v>
      </c>
      <c r="M70" s="252">
        <f>INDEX(Emissions_Lookup_35mph!$B$6:$H$51,MATCH('Intermediate Calcs'!M$2,Emissions_Lookup_35mph!$A$6:$A$51,0),MATCH('Intermediate Calcs'!$D70,Emissions_Lookup_35mph!$B$5:$H$5,0))*M$3</f>
        <v>0</v>
      </c>
      <c r="N70" s="252">
        <f>INDEX(Emissions_Lookup_35mph!$B$6:$H$51,MATCH('Intermediate Calcs'!N$2,Emissions_Lookup_35mph!$A$6:$A$51,0),MATCH('Intermediate Calcs'!$D70,Emissions_Lookup_35mph!$B$5:$H$5,0))*N$3</f>
        <v>0</v>
      </c>
      <c r="O70" s="252">
        <f>INDEX(Emissions_Lookup_35mph!$B$6:$H$51,MATCH('Intermediate Calcs'!O$2,Emissions_Lookup_35mph!$A$6:$A$51,0),MATCH('Intermediate Calcs'!$D70,Emissions_Lookup_35mph!$B$5:$H$5,0))*O$3</f>
        <v>0</v>
      </c>
      <c r="P70" s="252">
        <f>INDEX(Emissions_Lookup_35mph!$B$6:$H$51,MATCH('Intermediate Calcs'!P$2,Emissions_Lookup_35mph!$A$6:$A$51,0),MATCH('Intermediate Calcs'!$D70,Emissions_Lookup_35mph!$B$5:$H$5,0))*P$3</f>
        <v>1.0734558705735215E-9</v>
      </c>
      <c r="Q70" s="252">
        <f>INDEX(Emissions_Lookup_35mph!$B$6:$H$51,MATCH('Intermediate Calcs'!Q$2,Emissions_Lookup_35mph!$A$6:$A$51,0),MATCH('Intermediate Calcs'!$D70,Emissions_Lookup_35mph!$B$5:$H$5,0))*Q$3</f>
        <v>1.4132261232589315E-9</v>
      </c>
      <c r="R70" s="252">
        <f>INDEX(Emissions_Lookup_35mph!$B$6:$H$51,MATCH('Intermediate Calcs'!R$2,Emissions_Lookup_35mph!$A$6:$A$51,0),MATCH('Intermediate Calcs'!$D70,Emissions_Lookup_35mph!$B$5:$H$5,0))*R$3</f>
        <v>1.3951777524198344E-9</v>
      </c>
      <c r="S70" s="252">
        <f>INDEX(Emissions_Lookup_35mph!$B$6:$H$51,MATCH('Intermediate Calcs'!S$2,Emissions_Lookup_35mph!$A$6:$A$51,0),MATCH('Intermediate Calcs'!$D70,Emissions_Lookup_35mph!$B$5:$H$5,0))*S$3</f>
        <v>1.3771293815807371E-9</v>
      </c>
      <c r="T70" s="252">
        <f>INDEX(Emissions_Lookup_35mph!$B$6:$H$51,MATCH('Intermediate Calcs'!T$2,Emissions_Lookup_35mph!$A$6:$A$51,0),MATCH('Intermediate Calcs'!$D70,Emissions_Lookup_35mph!$B$5:$H$5,0))*T$3</f>
        <v>1.3668246298038802E-9</v>
      </c>
      <c r="U70" s="252">
        <f>INDEX(Emissions_Lookup_35mph!$B$6:$H$51,MATCH('Intermediate Calcs'!U$2,Emissions_Lookup_35mph!$A$6:$A$51,0),MATCH('Intermediate Calcs'!$D70,Emissions_Lookup_35mph!$B$5:$H$5,0))*U$3</f>
        <v>1.3565198780270233E-9</v>
      </c>
      <c r="V70" s="252">
        <f>INDEX(Emissions_Lookup_35mph!$B$6:$H$51,MATCH('Intermediate Calcs'!V$2,Emissions_Lookup_35mph!$A$6:$A$51,0),MATCH('Intermediate Calcs'!$D70,Emissions_Lookup_35mph!$B$5:$H$5,0))*V$3</f>
        <v>1.3462151262501665E-9</v>
      </c>
      <c r="W70" s="252">
        <f>INDEX(Emissions_Lookup_35mph!$B$6:$H$51,MATCH('Intermediate Calcs'!W$2,Emissions_Lookup_35mph!$A$6:$A$51,0),MATCH('Intermediate Calcs'!$D70,Emissions_Lookup_35mph!$B$5:$H$5,0))*W$3</f>
        <v>1.3359103744733096E-9</v>
      </c>
      <c r="X70" s="252">
        <f>INDEX(Emissions_Lookup_35mph!$B$6:$H$51,MATCH('Intermediate Calcs'!X$2,Emissions_Lookup_35mph!$A$6:$A$51,0),MATCH('Intermediate Calcs'!$D70,Emissions_Lookup_35mph!$B$5:$H$5,0))*X$3</f>
        <v>1.3256056226964527E-9</v>
      </c>
      <c r="Y70" s="252">
        <f>INDEX(Emissions_Lookup_35mph!$B$6:$H$51,MATCH('Intermediate Calcs'!Y$2,Emissions_Lookup_35mph!$A$6:$A$51,0),MATCH('Intermediate Calcs'!$D70,Emissions_Lookup_35mph!$B$5:$H$5,0))*Y$3</f>
        <v>1.3153008709195959E-9</v>
      </c>
      <c r="Z70" s="252">
        <f>INDEX(Emissions_Lookup_35mph!$B$6:$H$51,MATCH('Intermediate Calcs'!Z$2,Emissions_Lookup_35mph!$A$6:$A$51,0),MATCH('Intermediate Calcs'!$D70,Emissions_Lookup_35mph!$B$5:$H$5,0))*Z$3</f>
        <v>1.304996119142739E-9</v>
      </c>
      <c r="AA70" s="252">
        <f>INDEX(Emissions_Lookup_35mph!$B$6:$H$51,MATCH('Intermediate Calcs'!AA$2,Emissions_Lookup_35mph!$A$6:$A$51,0),MATCH('Intermediate Calcs'!$D70,Emissions_Lookup_35mph!$B$5:$H$5,0))*AA$3</f>
        <v>1.2946913673658821E-9</v>
      </c>
      <c r="AB70" s="252">
        <f>INDEX(Emissions_Lookup_35mph!$B$6:$H$51,MATCH('Intermediate Calcs'!AB$2,Emissions_Lookup_35mph!$A$6:$A$51,0),MATCH('Intermediate Calcs'!$D70,Emissions_Lookup_35mph!$B$5:$H$5,0))*AB$3</f>
        <v>1.2843866155890252E-9</v>
      </c>
      <c r="AC70" s="252">
        <f>INDEX(Emissions_Lookup_35mph!$B$6:$H$51,MATCH('Intermediate Calcs'!AC$2,Emissions_Lookup_35mph!$A$6:$A$51,0),MATCH('Intermediate Calcs'!$D70,Emissions_Lookup_35mph!$B$5:$H$5,0))*AC$3</f>
        <v>1.2740818638121678E-9</v>
      </c>
      <c r="AD70" s="252">
        <f>INDEX(Emissions_Lookup_35mph!$B$6:$H$51,MATCH('Intermediate Calcs'!AD$2,Emissions_Lookup_35mph!$A$6:$A$51,0),MATCH('Intermediate Calcs'!$D70,Emissions_Lookup_35mph!$B$5:$H$5,0))*AD$3</f>
        <v>1.2706776164122823E-9</v>
      </c>
      <c r="AE70" s="252">
        <f>INDEX(Emissions_Lookup_35mph!$B$6:$H$51,MATCH('Intermediate Calcs'!AE$2,Emissions_Lookup_35mph!$A$6:$A$51,0),MATCH('Intermediate Calcs'!$D70,Emissions_Lookup_35mph!$B$5:$H$5,0))*AE$3</f>
        <v>1.2672733690123968E-9</v>
      </c>
      <c r="AF70" s="252">
        <f>INDEX(Emissions_Lookup_35mph!$B$6:$H$51,MATCH('Intermediate Calcs'!AF$2,Emissions_Lookup_35mph!$A$6:$A$51,0),MATCH('Intermediate Calcs'!$D70,Emissions_Lookup_35mph!$B$5:$H$5,0))*AF$3</f>
        <v>1.2638691216125114E-9</v>
      </c>
      <c r="AG70" s="252">
        <f>INDEX(Emissions_Lookup_35mph!$B$6:$H$51,MATCH('Intermediate Calcs'!AG$2,Emissions_Lookup_35mph!$A$6:$A$51,0),MATCH('Intermediate Calcs'!$D70,Emissions_Lookup_35mph!$B$5:$H$5,0))*AG$3</f>
        <v>1.2604648742126259E-9</v>
      </c>
      <c r="AH70" s="252">
        <f>INDEX(Emissions_Lookup_35mph!$B$6:$H$51,MATCH('Intermediate Calcs'!AH$2,Emissions_Lookup_35mph!$A$6:$A$51,0),MATCH('Intermediate Calcs'!$D70,Emissions_Lookup_35mph!$B$5:$H$5,0))*AH$3</f>
        <v>1.2570606268127405E-9</v>
      </c>
      <c r="AI70" s="252">
        <f>INDEX(Emissions_Lookup_35mph!$B$6:$H$51,MATCH('Intermediate Calcs'!AI$2,Emissions_Lookup_35mph!$A$6:$A$51,0),MATCH('Intermediate Calcs'!$D70,Emissions_Lookup_35mph!$B$5:$H$5,0))*AI$3</f>
        <v>1.253656379412855E-9</v>
      </c>
      <c r="AJ70" s="252">
        <f>INDEX(Emissions_Lookup_35mph!$B$6:$H$51,MATCH('Intermediate Calcs'!AJ$2,Emissions_Lookup_35mph!$A$6:$A$51,0),MATCH('Intermediate Calcs'!$D70,Emissions_Lookup_35mph!$B$5:$H$5,0))*AJ$3</f>
        <v>0</v>
      </c>
      <c r="AK70" s="252">
        <f>INDEX(Emissions_Lookup_35mph!$B$6:$H$51,MATCH('Intermediate Calcs'!AK$2,Emissions_Lookup_35mph!$A$6:$A$51,0),MATCH('Intermediate Calcs'!$D70,Emissions_Lookup_35mph!$B$5:$H$5,0))*AK$3</f>
        <v>0</v>
      </c>
      <c r="AL70" s="252">
        <f>INDEX(Emissions_Lookup_35mph!$B$6:$H$51,MATCH('Intermediate Calcs'!AL$2,Emissions_Lookup_35mph!$A$6:$A$51,0),MATCH('Intermediate Calcs'!$D70,Emissions_Lookup_35mph!$B$5:$H$5,0))*AL$3</f>
        <v>0</v>
      </c>
      <c r="AM70" s="252">
        <f>INDEX(Emissions_Lookup_35mph!$B$6:$H$51,MATCH('Intermediate Calcs'!AM$2,Emissions_Lookup_35mph!$A$6:$A$51,0),MATCH('Intermediate Calcs'!$D70,Emissions_Lookup_35mph!$B$5:$H$5,0))*AM$3</f>
        <v>0</v>
      </c>
      <c r="AN70" s="252">
        <f>INDEX(Emissions_Lookup_35mph!$B$6:$H$51,MATCH('Intermediate Calcs'!AN$2,Emissions_Lookup_35mph!$A$6:$A$51,0),MATCH('Intermediate Calcs'!$D70,Emissions_Lookup_35mph!$B$5:$H$5,0))*AN$3</f>
        <v>0</v>
      </c>
      <c r="AO70" s="252">
        <f>INDEX(Emissions_Lookup_35mph!$B$6:$H$51,MATCH('Intermediate Calcs'!AO$2,Emissions_Lookup_35mph!$A$6:$A$51,0),MATCH('Intermediate Calcs'!$D70,Emissions_Lookup_35mph!$B$5:$H$5,0))*AO$3</f>
        <v>0</v>
      </c>
      <c r="AP70" s="252">
        <f>INDEX(Emissions_Lookup_35mph!$B$6:$H$51,MATCH('Intermediate Calcs'!AP$2,Emissions_Lookup_35mph!$A$6:$A$51,0),MATCH('Intermediate Calcs'!$D70,Emissions_Lookup_35mph!$B$5:$H$5,0))*AP$3</f>
        <v>0</v>
      </c>
      <c r="AQ70" s="252">
        <f>INDEX(Emissions_Lookup_35mph!$B$6:$H$51,MATCH('Intermediate Calcs'!AQ$2,Emissions_Lookup_35mph!$A$6:$A$51,0),MATCH('Intermediate Calcs'!$D70,Emissions_Lookup_35mph!$B$5:$H$5,0))*AQ$3</f>
        <v>0</v>
      </c>
      <c r="AR70" s="252">
        <f>INDEX(Emissions_Lookup_35mph!$B$6:$H$51,MATCH('Intermediate Calcs'!AR$2,Emissions_Lookup_35mph!$A$6:$A$51,0),MATCH('Intermediate Calcs'!$D70,Emissions_Lookup_35mph!$B$5:$H$5,0))*AR$3</f>
        <v>0</v>
      </c>
      <c r="AS70" s="252">
        <f>INDEX(Emissions_Lookup_35mph!$B$6:$H$51,MATCH('Intermediate Calcs'!AS$2,Emissions_Lookup_35mph!$A$6:$A$51,0),MATCH('Intermediate Calcs'!$D70,Emissions_Lookup_35mph!$B$5:$H$5,0))*AS$3</f>
        <v>0</v>
      </c>
      <c r="AT70" s="252">
        <f>INDEX(Emissions_Lookup_35mph!$B$6:$H$51,MATCH('Intermediate Calcs'!AT$2,Emissions_Lookup_35mph!$A$6:$A$51,0),MATCH('Intermediate Calcs'!$D70,Emissions_Lookup_35mph!$B$5:$H$5,0))*AT$3</f>
        <v>0</v>
      </c>
      <c r="AU70" s="252">
        <f>INDEX(Emissions_Lookup_35mph!$B$6:$H$51,MATCH('Intermediate Calcs'!AU$2,Emissions_Lookup_35mph!$A$6:$A$51,0),MATCH('Intermediate Calcs'!$D70,Emissions_Lookup_35mph!$B$5:$H$5,0))*AU$3</f>
        <v>0</v>
      </c>
      <c r="AV70" s="252">
        <f>INDEX(Emissions_Lookup_35mph!$B$6:$H$51,MATCH('Intermediate Calcs'!AV$2,Emissions_Lookup_35mph!$A$6:$A$51,0),MATCH('Intermediate Calcs'!$D70,Emissions_Lookup_35mph!$B$5:$H$5,0))*AV$3</f>
        <v>0</v>
      </c>
      <c r="AW70" s="252">
        <f>INDEX(Emissions_Lookup_35mph!$B$6:$H$51,MATCH('Intermediate Calcs'!AW$2,Emissions_Lookup_35mph!$A$6:$A$51,0),MATCH('Intermediate Calcs'!$D70,Emissions_Lookup_35mph!$B$5:$H$5,0))*AW$3</f>
        <v>0</v>
      </c>
      <c r="AX70" s="252">
        <f>INDEX(Emissions_Lookup_35mph!$B$6:$H$51,MATCH('Intermediate Calcs'!AX$2,Emissions_Lookup_35mph!$A$6:$A$51,0),MATCH('Intermediate Calcs'!$D70,Emissions_Lookup_35mph!$B$5:$H$5,0))*AX$3</f>
        <v>0</v>
      </c>
      <c r="AY70" s="252">
        <f>INDEX(Emissions_Lookup_35mph!$B$6:$H$51,MATCH('Intermediate Calcs'!AY$2,Emissions_Lookup_35mph!$A$6:$A$51,0),MATCH('Intermediate Calcs'!$D70,Emissions_Lookup_35mph!$B$5:$H$5,0))*AY$3</f>
        <v>0</v>
      </c>
      <c r="AZ70" s="252">
        <f>INDEX(Emissions_Lookup_35mph!$B$6:$H$51,MATCH('Intermediate Calcs'!AZ$2,Emissions_Lookup_35mph!$A$6:$A$51,0),MATCH('Intermediate Calcs'!$D70,Emissions_Lookup_35mph!$B$5:$H$5,0))*AZ$3</f>
        <v>0</v>
      </c>
      <c r="BA70" s="252">
        <f>INDEX(Emissions_Lookup_35mph!$B$6:$H$51,MATCH('Intermediate Calcs'!BA$2,Emissions_Lookup_35mph!$A$6:$A$51,0),MATCH('Intermediate Calcs'!$D70,Emissions_Lookup_35mph!$B$5:$H$5,0))*BA$3</f>
        <v>0</v>
      </c>
      <c r="BB70" s="252">
        <f>INDEX(Emissions_Lookup_35mph!$B$6:$H$51,MATCH('Intermediate Calcs'!BB$2,Emissions_Lookup_35mph!$A$6:$A$51,0),MATCH('Intermediate Calcs'!$D70,Emissions_Lookup_35mph!$B$5:$H$5,0))*BB$3</f>
        <v>0</v>
      </c>
    </row>
    <row r="71" spans="4:54">
      <c r="G71" s="19"/>
      <c r="H71" s="71"/>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row>
    <row r="72" spans="4:54">
      <c r="G72" s="19"/>
      <c r="H72" s="71"/>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row>
    <row r="73" spans="4:54">
      <c r="E73" s="36" t="s">
        <v>207</v>
      </c>
      <c r="F73" s="19" t="s">
        <v>80</v>
      </c>
      <c r="G73" s="98">
        <f>'Project Assumptions'!G44</f>
        <v>2.38</v>
      </c>
      <c r="H73" s="71"/>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row>
    <row r="74" spans="4:54">
      <c r="G74" s="19"/>
      <c r="H74" s="71"/>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row>
    <row r="75" spans="4:54">
      <c r="E75" t="s">
        <v>208</v>
      </c>
      <c r="G75" s="19" t="s">
        <v>209</v>
      </c>
      <c r="H75" s="87">
        <f>SUM(I75:BB75)</f>
        <v>2118229.6760681514</v>
      </c>
      <c r="I75" s="87">
        <f t="shared" ref="I75:BB75" si="14">I40*$G$53*$G$73</f>
        <v>0</v>
      </c>
      <c r="J75" s="87">
        <f t="shared" si="14"/>
        <v>0</v>
      </c>
      <c r="K75" s="87">
        <f t="shared" si="14"/>
        <v>0</v>
      </c>
      <c r="L75" s="87">
        <f t="shared" si="14"/>
        <v>0</v>
      </c>
      <c r="M75" s="87">
        <f t="shared" si="14"/>
        <v>0</v>
      </c>
      <c r="N75" s="87">
        <f t="shared" si="14"/>
        <v>0</v>
      </c>
      <c r="O75" s="87">
        <f t="shared" si="14"/>
        <v>0</v>
      </c>
      <c r="P75" s="87">
        <f t="shared" si="14"/>
        <v>75158.735352511125</v>
      </c>
      <c r="Q75" s="87">
        <f t="shared" si="14"/>
        <v>100913.12866663828</v>
      </c>
      <c r="R75" s="87">
        <f t="shared" si="14"/>
        <v>101619.52056730473</v>
      </c>
      <c r="S75" s="87">
        <f t="shared" si="14"/>
        <v>102330.85721127586</v>
      </c>
      <c r="T75" s="87">
        <f t="shared" si="14"/>
        <v>103047.17321175478</v>
      </c>
      <c r="U75" s="87">
        <f t="shared" si="14"/>
        <v>103768.50342423705</v>
      </c>
      <c r="V75" s="87">
        <f t="shared" si="14"/>
        <v>104494.88294820669</v>
      </c>
      <c r="W75" s="87">
        <f t="shared" si="14"/>
        <v>105226.34712884412</v>
      </c>
      <c r="X75" s="87">
        <f t="shared" si="14"/>
        <v>105962.93155874603</v>
      </c>
      <c r="Y75" s="87">
        <f t="shared" si="14"/>
        <v>106704.67207965725</v>
      </c>
      <c r="Z75" s="87">
        <f t="shared" si="14"/>
        <v>107451.60478421483</v>
      </c>
      <c r="AA75" s="87">
        <f t="shared" si="14"/>
        <v>108203.7660177043</v>
      </c>
      <c r="AB75" s="87">
        <f t="shared" si="14"/>
        <v>108961.19237982824</v>
      </c>
      <c r="AC75" s="87">
        <f t="shared" si="14"/>
        <v>109723.92072648702</v>
      </c>
      <c r="AD75" s="87">
        <f t="shared" si="14"/>
        <v>110491.98817157239</v>
      </c>
      <c r="AE75" s="87">
        <f t="shared" si="14"/>
        <v>111265.43208877339</v>
      </c>
      <c r="AF75" s="87">
        <f t="shared" si="14"/>
        <v>112044.2901133948</v>
      </c>
      <c r="AG75" s="87">
        <f t="shared" si="14"/>
        <v>112828.60014418856</v>
      </c>
      <c r="AH75" s="87">
        <f t="shared" si="14"/>
        <v>113618.40034519788</v>
      </c>
      <c r="AI75" s="87">
        <f t="shared" si="14"/>
        <v>114413.72914761421</v>
      </c>
      <c r="AJ75" s="87">
        <f t="shared" si="14"/>
        <v>0</v>
      </c>
      <c r="AK75" s="87">
        <f t="shared" si="14"/>
        <v>0</v>
      </c>
      <c r="AL75" s="87">
        <f t="shared" si="14"/>
        <v>0</v>
      </c>
      <c r="AM75" s="87">
        <f t="shared" si="14"/>
        <v>0</v>
      </c>
      <c r="AN75" s="87">
        <f t="shared" si="14"/>
        <v>0</v>
      </c>
      <c r="AO75" s="87">
        <f t="shared" si="14"/>
        <v>0</v>
      </c>
      <c r="AP75" s="87">
        <f t="shared" si="14"/>
        <v>0</v>
      </c>
      <c r="AQ75" s="87">
        <f t="shared" si="14"/>
        <v>0</v>
      </c>
      <c r="AR75" s="87">
        <f t="shared" si="14"/>
        <v>0</v>
      </c>
      <c r="AS75" s="87">
        <f t="shared" si="14"/>
        <v>0</v>
      </c>
      <c r="AT75" s="87">
        <f t="shared" si="14"/>
        <v>0</v>
      </c>
      <c r="AU75" s="87">
        <f t="shared" si="14"/>
        <v>0</v>
      </c>
      <c r="AV75" s="87">
        <f t="shared" si="14"/>
        <v>0</v>
      </c>
      <c r="AW75" s="87">
        <f t="shared" si="14"/>
        <v>0</v>
      </c>
      <c r="AX75" s="87">
        <f t="shared" si="14"/>
        <v>0</v>
      </c>
      <c r="AY75" s="87">
        <f t="shared" si="14"/>
        <v>0</v>
      </c>
      <c r="AZ75" s="87">
        <f t="shared" si="14"/>
        <v>0</v>
      </c>
      <c r="BA75" s="87">
        <f t="shared" si="14"/>
        <v>0</v>
      </c>
      <c r="BB75" s="87">
        <f t="shared" si="14"/>
        <v>0</v>
      </c>
    </row>
    <row r="76" spans="4:54">
      <c r="G76" s="19"/>
      <c r="H76" s="71"/>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row>
    <row r="77" spans="4:54">
      <c r="G77" s="19"/>
      <c r="H77" s="71"/>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row>
    <row r="78" spans="4:54">
      <c r="D78" s="12" t="s">
        <v>53</v>
      </c>
      <c r="G78" s="19"/>
      <c r="H78" s="71"/>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row>
    <row r="79" spans="4:54">
      <c r="E79" s="36" t="s">
        <v>210</v>
      </c>
      <c r="F79"/>
      <c r="G79" s="19" t="s">
        <v>211</v>
      </c>
      <c r="H79" s="87">
        <f>SUM(I79:BB79)</f>
        <v>533.75576199388797</v>
      </c>
      <c r="I79" s="253">
        <f t="shared" ref="I79:BB79" si="15">I$75*I67</f>
        <v>0</v>
      </c>
      <c r="J79" s="253">
        <f t="shared" si="15"/>
        <v>0</v>
      </c>
      <c r="K79" s="253">
        <f t="shared" si="15"/>
        <v>0</v>
      </c>
      <c r="L79" s="253">
        <f t="shared" si="15"/>
        <v>0</v>
      </c>
      <c r="M79" s="253">
        <f t="shared" si="15"/>
        <v>0</v>
      </c>
      <c r="N79" s="253">
        <f t="shared" si="15"/>
        <v>0</v>
      </c>
      <c r="O79" s="253">
        <f t="shared" si="15"/>
        <v>0</v>
      </c>
      <c r="P79" s="253">
        <f t="shared" si="15"/>
        <v>15.595632045226456</v>
      </c>
      <c r="Q79" s="253">
        <f t="shared" si="15"/>
        <v>27.567582676081472</v>
      </c>
      <c r="R79" s="253">
        <f t="shared" si="15"/>
        <v>27.406026923263912</v>
      </c>
      <c r="S79" s="253">
        <f t="shared" si="15"/>
        <v>27.240858578355788</v>
      </c>
      <c r="T79" s="253">
        <f t="shared" si="15"/>
        <v>27.226309259968748</v>
      </c>
      <c r="U79" s="253">
        <f t="shared" si="15"/>
        <v>27.210221449053943</v>
      </c>
      <c r="V79" s="253">
        <f t="shared" si="15"/>
        <v>27.192574319632598</v>
      </c>
      <c r="W79" s="253">
        <f t="shared" si="15"/>
        <v>27.173346829548347</v>
      </c>
      <c r="X79" s="253">
        <f t="shared" si="15"/>
        <v>27.152517718461258</v>
      </c>
      <c r="Y79" s="253">
        <f t="shared" si="15"/>
        <v>27.130065505824302</v>
      </c>
      <c r="Z79" s="253">
        <f t="shared" si="15"/>
        <v>27.105968488842219</v>
      </c>
      <c r="AA79" s="253">
        <f t="shared" si="15"/>
        <v>27.080204740412601</v>
      </c>
      <c r="AB79" s="253">
        <f t="shared" si="15"/>
        <v>27.052752107049024</v>
      </c>
      <c r="AC79" s="253">
        <f t="shared" si="15"/>
        <v>27.023588206786059</v>
      </c>
      <c r="AD79" s="253">
        <f t="shared" si="15"/>
        <v>27.140060039360741</v>
      </c>
      <c r="AE79" s="253">
        <f t="shared" si="15"/>
        <v>27.256838321769344</v>
      </c>
      <c r="AF79" s="253">
        <f t="shared" si="15"/>
        <v>27.373921637189738</v>
      </c>
      <c r="AG79" s="253">
        <f t="shared" si="15"/>
        <v>27.491308533948249</v>
      </c>
      <c r="AH79" s="253">
        <f t="shared" si="15"/>
        <v>27.608997525101159</v>
      </c>
      <c r="AI79" s="253">
        <f t="shared" si="15"/>
        <v>27.726987088012034</v>
      </c>
      <c r="AJ79" s="253">
        <f t="shared" si="15"/>
        <v>0</v>
      </c>
      <c r="AK79" s="253">
        <f t="shared" si="15"/>
        <v>0</v>
      </c>
      <c r="AL79" s="253">
        <f t="shared" si="15"/>
        <v>0</v>
      </c>
      <c r="AM79" s="253">
        <f t="shared" si="15"/>
        <v>0</v>
      </c>
      <c r="AN79" s="253">
        <f t="shared" si="15"/>
        <v>0</v>
      </c>
      <c r="AO79" s="253">
        <f t="shared" si="15"/>
        <v>0</v>
      </c>
      <c r="AP79" s="253">
        <f t="shared" si="15"/>
        <v>0</v>
      </c>
      <c r="AQ79" s="253">
        <f t="shared" si="15"/>
        <v>0</v>
      </c>
      <c r="AR79" s="253">
        <f t="shared" si="15"/>
        <v>0</v>
      </c>
      <c r="AS79" s="253">
        <f t="shared" si="15"/>
        <v>0</v>
      </c>
      <c r="AT79" s="253">
        <f t="shared" si="15"/>
        <v>0</v>
      </c>
      <c r="AU79" s="253">
        <f t="shared" si="15"/>
        <v>0</v>
      </c>
      <c r="AV79" s="253">
        <f t="shared" si="15"/>
        <v>0</v>
      </c>
      <c r="AW79" s="253">
        <f t="shared" si="15"/>
        <v>0</v>
      </c>
      <c r="AX79" s="253">
        <f t="shared" si="15"/>
        <v>0</v>
      </c>
      <c r="AY79" s="253">
        <f t="shared" si="15"/>
        <v>0</v>
      </c>
      <c r="AZ79" s="253">
        <f t="shared" si="15"/>
        <v>0</v>
      </c>
      <c r="BA79" s="253">
        <f t="shared" si="15"/>
        <v>0</v>
      </c>
      <c r="BB79" s="253">
        <f t="shared" si="15"/>
        <v>0</v>
      </c>
    </row>
    <row r="80" spans="4:54">
      <c r="E80" s="36" t="s">
        <v>212</v>
      </c>
      <c r="F80"/>
      <c r="G80" s="19" t="s">
        <v>211</v>
      </c>
      <c r="H80" s="254">
        <f>SUM(I80:BB80)</f>
        <v>2.5141871043093324E-2</v>
      </c>
      <c r="I80" s="255">
        <f t="shared" ref="I80:BB80" si="16">I$75*I68</f>
        <v>0</v>
      </c>
      <c r="J80" s="255">
        <f t="shared" si="16"/>
        <v>0</v>
      </c>
      <c r="K80" s="255">
        <f t="shared" si="16"/>
        <v>0</v>
      </c>
      <c r="L80" s="255">
        <f t="shared" si="16"/>
        <v>0</v>
      </c>
      <c r="M80" s="255">
        <f t="shared" si="16"/>
        <v>0</v>
      </c>
      <c r="N80" s="255">
        <f t="shared" si="16"/>
        <v>0</v>
      </c>
      <c r="O80" s="255">
        <f t="shared" si="16"/>
        <v>0</v>
      </c>
      <c r="P80" s="255">
        <f t="shared" si="16"/>
        <v>2.1580891571365036E-3</v>
      </c>
      <c r="Q80" s="255">
        <f t="shared" si="16"/>
        <v>3.3017291935682922E-3</v>
      </c>
      <c r="R80" s="255">
        <f t="shared" si="16"/>
        <v>2.759179215037448E-3</v>
      </c>
      <c r="S80" s="255">
        <f t="shared" si="16"/>
        <v>2.2088717520766877E-3</v>
      </c>
      <c r="T80" s="255">
        <f t="shared" si="16"/>
        <v>2.0417178502613051E-3</v>
      </c>
      <c r="U80" s="255">
        <f t="shared" si="16"/>
        <v>1.8721155591046553E-3</v>
      </c>
      <c r="V80" s="255">
        <f t="shared" si="16"/>
        <v>1.7000387916971497E-3</v>
      </c>
      <c r="W80" s="255">
        <f t="shared" si="16"/>
        <v>1.5254612158835431E-3</v>
      </c>
      <c r="X80" s="255">
        <f t="shared" si="16"/>
        <v>1.3483562521077533E-3</v>
      </c>
      <c r="Y80" s="255">
        <f t="shared" si="16"/>
        <v>1.1686970712395238E-3</v>
      </c>
      <c r="Z80" s="255">
        <f t="shared" si="16"/>
        <v>9.8645659238278597E-4</v>
      </c>
      <c r="AA80" s="255">
        <f t="shared" si="16"/>
        <v>8.0160748066556299E-4</v>
      </c>
      <c r="AB80" s="255">
        <f t="shared" si="16"/>
        <v>6.1412214501127234E-4</v>
      </c>
      <c r="AC80" s="255">
        <f t="shared" si="16"/>
        <v>4.239727358912692E-4</v>
      </c>
      <c r="AD80" s="255">
        <f t="shared" si="16"/>
        <v>4.0947445694431626E-4</v>
      </c>
      <c r="AE80" s="255">
        <f t="shared" si="16"/>
        <v>3.947524274280475E-4</v>
      </c>
      <c r="AF80" s="255">
        <f t="shared" si="16"/>
        <v>3.7980422525016067E-4</v>
      </c>
      <c r="AG80" s="255">
        <f t="shared" si="16"/>
        <v>3.6462740537283943E-4</v>
      </c>
      <c r="AH80" s="255">
        <f t="shared" si="16"/>
        <v>3.4921949961019843E-4</v>
      </c>
      <c r="AI80" s="255">
        <f t="shared" si="16"/>
        <v>3.335780164240171E-4</v>
      </c>
      <c r="AJ80" s="255">
        <f t="shared" si="16"/>
        <v>0</v>
      </c>
      <c r="AK80" s="255">
        <f t="shared" si="16"/>
        <v>0</v>
      </c>
      <c r="AL80" s="255">
        <f t="shared" si="16"/>
        <v>0</v>
      </c>
      <c r="AM80" s="255">
        <f t="shared" si="16"/>
        <v>0</v>
      </c>
      <c r="AN80" s="255">
        <f t="shared" si="16"/>
        <v>0</v>
      </c>
      <c r="AO80" s="255">
        <f t="shared" si="16"/>
        <v>0</v>
      </c>
      <c r="AP80" s="255">
        <f t="shared" si="16"/>
        <v>0</v>
      </c>
      <c r="AQ80" s="255">
        <f t="shared" si="16"/>
        <v>0</v>
      </c>
      <c r="AR80" s="255">
        <f t="shared" si="16"/>
        <v>0</v>
      </c>
      <c r="AS80" s="255">
        <f t="shared" si="16"/>
        <v>0</v>
      </c>
      <c r="AT80" s="255">
        <f t="shared" si="16"/>
        <v>0</v>
      </c>
      <c r="AU80" s="255">
        <f t="shared" si="16"/>
        <v>0</v>
      </c>
      <c r="AV80" s="255">
        <f t="shared" si="16"/>
        <v>0</v>
      </c>
      <c r="AW80" s="255">
        <f t="shared" si="16"/>
        <v>0</v>
      </c>
      <c r="AX80" s="255">
        <f t="shared" si="16"/>
        <v>0</v>
      </c>
      <c r="AY80" s="255">
        <f t="shared" si="16"/>
        <v>0</v>
      </c>
      <c r="AZ80" s="255">
        <f t="shared" si="16"/>
        <v>0</v>
      </c>
      <c r="BA80" s="255">
        <f t="shared" si="16"/>
        <v>0</v>
      </c>
      <c r="BB80" s="255">
        <f t="shared" si="16"/>
        <v>0</v>
      </c>
    </row>
    <row r="81" spans="4:54">
      <c r="E81" s="36" t="s">
        <v>213</v>
      </c>
      <c r="F81"/>
      <c r="G81" s="19" t="s">
        <v>211</v>
      </c>
      <c r="H81" s="254">
        <f>SUM(I81:BB81)</f>
        <v>1.3588451173702318E-3</v>
      </c>
      <c r="I81" s="255">
        <f t="shared" ref="I81:BB81" si="17">I$75*I69</f>
        <v>0</v>
      </c>
      <c r="J81" s="255">
        <f t="shared" si="17"/>
        <v>0</v>
      </c>
      <c r="K81" s="255">
        <f t="shared" si="17"/>
        <v>0</v>
      </c>
      <c r="L81" s="255">
        <f t="shared" si="17"/>
        <v>0</v>
      </c>
      <c r="M81" s="255">
        <f t="shared" si="17"/>
        <v>0</v>
      </c>
      <c r="N81" s="255">
        <f t="shared" si="17"/>
        <v>0</v>
      </c>
      <c r="O81" s="255">
        <f t="shared" si="17"/>
        <v>0</v>
      </c>
      <c r="P81" s="255">
        <f t="shared" si="17"/>
        <v>4.9544734767249186E-5</v>
      </c>
      <c r="Q81" s="255">
        <f t="shared" si="17"/>
        <v>8.5318935254408192E-5</v>
      </c>
      <c r="R81" s="255">
        <f t="shared" si="17"/>
        <v>8.2515377831721603E-5</v>
      </c>
      <c r="S81" s="255">
        <f t="shared" si="17"/>
        <v>7.9668389977289919E-5</v>
      </c>
      <c r="T81" s="255">
        <f t="shared" si="17"/>
        <v>7.797486702658457E-5</v>
      </c>
      <c r="U81" s="255">
        <f t="shared" si="17"/>
        <v>7.6253731003460458E-5</v>
      </c>
      <c r="V81" s="255">
        <f t="shared" si="17"/>
        <v>7.4504678307528313E-5</v>
      </c>
      <c r="W81" s="255">
        <f t="shared" si="17"/>
        <v>7.2727402441033945E-5</v>
      </c>
      <c r="X81" s="255">
        <f t="shared" si="17"/>
        <v>7.0921593983171589E-5</v>
      </c>
      <c r="Y81" s="255">
        <f t="shared" si="17"/>
        <v>6.9086940564179556E-5</v>
      </c>
      <c r="Z81" s="255">
        <f t="shared" si="17"/>
        <v>6.7223126839216447E-5</v>
      </c>
      <c r="AA81" s="255">
        <f t="shared" si="17"/>
        <v>6.5329834462016193E-5</v>
      </c>
      <c r="AB81" s="255">
        <f t="shared" si="17"/>
        <v>6.340674205832006E-5</v>
      </c>
      <c r="AC81" s="255">
        <f t="shared" si="17"/>
        <v>6.1453525199083506E-5</v>
      </c>
      <c r="AD81" s="255">
        <f t="shared" si="17"/>
        <v>6.1188394247009643E-5</v>
      </c>
      <c r="AE81" s="255">
        <f t="shared" si="17"/>
        <v>6.0916540238871993E-5</v>
      </c>
      <c r="AF81" s="255">
        <f t="shared" si="17"/>
        <v>6.0637882043302318E-5</v>
      </c>
      <c r="AG81" s="255">
        <f t="shared" si="17"/>
        <v>6.0352337722522962E-5</v>
      </c>
      <c r="AH81" s="255">
        <f t="shared" si="17"/>
        <v>6.0059824525032576E-5</v>
      </c>
      <c r="AI81" s="255">
        <f t="shared" si="17"/>
        <v>5.9760258878228889E-5</v>
      </c>
      <c r="AJ81" s="255">
        <f t="shared" si="17"/>
        <v>0</v>
      </c>
      <c r="AK81" s="255">
        <f t="shared" si="17"/>
        <v>0</v>
      </c>
      <c r="AL81" s="255">
        <f t="shared" si="17"/>
        <v>0</v>
      </c>
      <c r="AM81" s="255">
        <f t="shared" si="17"/>
        <v>0</v>
      </c>
      <c r="AN81" s="255">
        <f t="shared" si="17"/>
        <v>0</v>
      </c>
      <c r="AO81" s="255">
        <f t="shared" si="17"/>
        <v>0</v>
      </c>
      <c r="AP81" s="255">
        <f t="shared" si="17"/>
        <v>0</v>
      </c>
      <c r="AQ81" s="255">
        <f t="shared" si="17"/>
        <v>0</v>
      </c>
      <c r="AR81" s="255">
        <f t="shared" si="17"/>
        <v>0</v>
      </c>
      <c r="AS81" s="255">
        <f t="shared" si="17"/>
        <v>0</v>
      </c>
      <c r="AT81" s="255">
        <f t="shared" si="17"/>
        <v>0</v>
      </c>
      <c r="AU81" s="255">
        <f t="shared" si="17"/>
        <v>0</v>
      </c>
      <c r="AV81" s="255">
        <f t="shared" si="17"/>
        <v>0</v>
      </c>
      <c r="AW81" s="255">
        <f t="shared" si="17"/>
        <v>0</v>
      </c>
      <c r="AX81" s="255">
        <f t="shared" si="17"/>
        <v>0</v>
      </c>
      <c r="AY81" s="255">
        <f t="shared" si="17"/>
        <v>0</v>
      </c>
      <c r="AZ81" s="255">
        <f t="shared" si="17"/>
        <v>0</v>
      </c>
      <c r="BA81" s="255">
        <f t="shared" si="17"/>
        <v>0</v>
      </c>
      <c r="BB81" s="255">
        <f t="shared" si="17"/>
        <v>0</v>
      </c>
    </row>
    <row r="82" spans="4:54">
      <c r="E82" s="36" t="s">
        <v>214</v>
      </c>
      <c r="F82"/>
      <c r="G82" s="19" t="s">
        <v>211</v>
      </c>
      <c r="H82" s="254">
        <f>SUM(I82:BB82)</f>
        <v>2.7612135020319149E-3</v>
      </c>
      <c r="I82" s="255">
        <f t="shared" ref="I82:BB82" si="18">I$75*I70</f>
        <v>0</v>
      </c>
      <c r="J82" s="255">
        <f t="shared" si="18"/>
        <v>0</v>
      </c>
      <c r="K82" s="255">
        <f t="shared" si="18"/>
        <v>0</v>
      </c>
      <c r="L82" s="255">
        <f t="shared" si="18"/>
        <v>0</v>
      </c>
      <c r="M82" s="255">
        <f t="shared" si="18"/>
        <v>0</v>
      </c>
      <c r="N82" s="255">
        <f t="shared" si="18"/>
        <v>0</v>
      </c>
      <c r="O82" s="255">
        <f t="shared" si="18"/>
        <v>0</v>
      </c>
      <c r="P82" s="255">
        <f t="shared" si="18"/>
        <v>8.0679585689034738E-5</v>
      </c>
      <c r="Q82" s="255">
        <f t="shared" si="18"/>
        <v>1.4261306961148296E-4</v>
      </c>
      <c r="R82" s="255">
        <f t="shared" si="18"/>
        <v>1.4177729430707336E-4</v>
      </c>
      <c r="S82" s="255">
        <f t="shared" si="18"/>
        <v>1.4092283010799103E-4</v>
      </c>
      <c r="T82" s="255">
        <f t="shared" si="18"/>
        <v>1.4084741437749305E-4</v>
      </c>
      <c r="U82" s="255">
        <f t="shared" si="18"/>
        <v>1.4076403760809278E-4</v>
      </c>
      <c r="V82" s="255">
        <f t="shared" si="18"/>
        <v>1.4067259204061645E-4</v>
      </c>
      <c r="W82" s="255">
        <f t="shared" si="18"/>
        <v>1.4057296879735261E-4</v>
      </c>
      <c r="X82" s="255">
        <f t="shared" si="18"/>
        <v>1.4046505787167313E-4</v>
      </c>
      <c r="Y82" s="255">
        <f t="shared" si="18"/>
        <v>1.4034874811756306E-4</v>
      </c>
      <c r="Z82" s="255">
        <f t="shared" si="18"/>
        <v>1.4022392723905971E-4</v>
      </c>
      <c r="AA82" s="255">
        <f t="shared" si="18"/>
        <v>1.4009048177959955E-4</v>
      </c>
      <c r="AB82" s="255">
        <f t="shared" si="18"/>
        <v>1.3994829711127228E-4</v>
      </c>
      <c r="AC82" s="255">
        <f t="shared" si="18"/>
        <v>1.3979725742398113E-4</v>
      </c>
      <c r="AD82" s="255">
        <f t="shared" si="18"/>
        <v>1.403996961625077E-4</v>
      </c>
      <c r="AE82" s="255">
        <f t="shared" si="18"/>
        <v>1.410037189777599E-4</v>
      </c>
      <c r="AF82" s="255">
        <f t="shared" si="18"/>
        <v>1.4160931852731369E-4</v>
      </c>
      <c r="AG82" s="255">
        <f t="shared" si="18"/>
        <v>1.4221648728833129E-4</v>
      </c>
      <c r="AH82" s="255">
        <f t="shared" si="18"/>
        <v>1.4282521755539535E-4</v>
      </c>
      <c r="AI82" s="255">
        <f t="shared" si="18"/>
        <v>1.4343550143832107E-4</v>
      </c>
      <c r="AJ82" s="255">
        <f t="shared" si="18"/>
        <v>0</v>
      </c>
      <c r="AK82" s="255">
        <f t="shared" si="18"/>
        <v>0</v>
      </c>
      <c r="AL82" s="255">
        <f t="shared" si="18"/>
        <v>0</v>
      </c>
      <c r="AM82" s="255">
        <f t="shared" si="18"/>
        <v>0</v>
      </c>
      <c r="AN82" s="255">
        <f t="shared" si="18"/>
        <v>0</v>
      </c>
      <c r="AO82" s="255">
        <f t="shared" si="18"/>
        <v>0</v>
      </c>
      <c r="AP82" s="255">
        <f t="shared" si="18"/>
        <v>0</v>
      </c>
      <c r="AQ82" s="255">
        <f t="shared" si="18"/>
        <v>0</v>
      </c>
      <c r="AR82" s="255">
        <f t="shared" si="18"/>
        <v>0</v>
      </c>
      <c r="AS82" s="255">
        <f t="shared" si="18"/>
        <v>0</v>
      </c>
      <c r="AT82" s="255">
        <f t="shared" si="18"/>
        <v>0</v>
      </c>
      <c r="AU82" s="255">
        <f t="shared" si="18"/>
        <v>0</v>
      </c>
      <c r="AV82" s="255">
        <f t="shared" si="18"/>
        <v>0</v>
      </c>
      <c r="AW82" s="255">
        <f t="shared" si="18"/>
        <v>0</v>
      </c>
      <c r="AX82" s="255">
        <f t="shared" si="18"/>
        <v>0</v>
      </c>
      <c r="AY82" s="255">
        <f t="shared" si="18"/>
        <v>0</v>
      </c>
      <c r="AZ82" s="255">
        <f t="shared" si="18"/>
        <v>0</v>
      </c>
      <c r="BA82" s="255">
        <f t="shared" si="18"/>
        <v>0</v>
      </c>
      <c r="BB82" s="255">
        <f t="shared" si="18"/>
        <v>0</v>
      </c>
    </row>
    <row r="83" spans="4:54">
      <c r="G83" s="19"/>
      <c r="H83" s="71"/>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row>
    <row r="84" spans="4:54">
      <c r="G84" s="19"/>
      <c r="H84" s="71"/>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row>
    <row r="85" spans="4:54">
      <c r="D85" s="12" t="s">
        <v>215</v>
      </c>
      <c r="G85" s="19"/>
      <c r="H85" s="71"/>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row>
    <row r="86" spans="4:54">
      <c r="G86" s="19"/>
      <c r="H86" s="71"/>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row>
    <row r="87" spans="4:54">
      <c r="E87" s="36" t="s">
        <v>216</v>
      </c>
      <c r="F87"/>
      <c r="G87" s="19" t="s">
        <v>46</v>
      </c>
      <c r="H87" s="71">
        <f>SUM(I87:BB87)</f>
        <v>152419.69626407122</v>
      </c>
      <c r="I87" s="72">
        <f t="shared" ref="I87:BB87" si="19">I79*I61</f>
        <v>0</v>
      </c>
      <c r="J87" s="72">
        <f t="shared" si="19"/>
        <v>0</v>
      </c>
      <c r="K87" s="72">
        <f t="shared" si="19"/>
        <v>0</v>
      </c>
      <c r="L87" s="72">
        <f t="shared" si="19"/>
        <v>0</v>
      </c>
      <c r="M87" s="72">
        <f t="shared" si="19"/>
        <v>0</v>
      </c>
      <c r="N87" s="72">
        <f t="shared" si="19"/>
        <v>0</v>
      </c>
      <c r="O87" s="72">
        <f t="shared" si="19"/>
        <v>0</v>
      </c>
      <c r="P87" s="72">
        <f t="shared" si="19"/>
        <v>3820.9298510804815</v>
      </c>
      <c r="Q87" s="72">
        <f t="shared" si="19"/>
        <v>6891.8956690203677</v>
      </c>
      <c r="R87" s="72">
        <f t="shared" si="19"/>
        <v>6933.7248115857701</v>
      </c>
      <c r="S87" s="72">
        <f t="shared" si="19"/>
        <v>7000.9006546374376</v>
      </c>
      <c r="T87" s="72">
        <f t="shared" si="19"/>
        <v>7133.2930261118117</v>
      </c>
      <c r="U87" s="72">
        <f t="shared" si="19"/>
        <v>7210.7086839992953</v>
      </c>
      <c r="V87" s="72">
        <f t="shared" si="19"/>
        <v>7341.9950663008012</v>
      </c>
      <c r="W87" s="72">
        <f t="shared" si="19"/>
        <v>7445.4970312962469</v>
      </c>
      <c r="X87" s="72">
        <f t="shared" si="19"/>
        <v>7548.3999257322293</v>
      </c>
      <c r="Y87" s="72">
        <f t="shared" si="19"/>
        <v>7650.678472642453</v>
      </c>
      <c r="Z87" s="72">
        <f t="shared" si="19"/>
        <v>7779.4129562977168</v>
      </c>
      <c r="AA87" s="72">
        <f t="shared" si="19"/>
        <v>7853.2593747196543</v>
      </c>
      <c r="AB87" s="72">
        <f t="shared" si="19"/>
        <v>7953.5091194724127</v>
      </c>
      <c r="AC87" s="72">
        <f t="shared" si="19"/>
        <v>8080.0528738290313</v>
      </c>
      <c r="AD87" s="72">
        <f t="shared" si="19"/>
        <v>8223.4381919263051</v>
      </c>
      <c r="AE87" s="72">
        <f t="shared" si="19"/>
        <v>8395.1062031049587</v>
      </c>
      <c r="AF87" s="72">
        <f t="shared" si="19"/>
        <v>8540.6635508031977</v>
      </c>
      <c r="AG87" s="72">
        <f t="shared" si="19"/>
        <v>8714.7448052615946</v>
      </c>
      <c r="AH87" s="72">
        <f t="shared" si="19"/>
        <v>8862.4882055574726</v>
      </c>
      <c r="AI87" s="72">
        <f t="shared" si="19"/>
        <v>9038.997790691923</v>
      </c>
      <c r="AJ87" s="72">
        <f t="shared" si="19"/>
        <v>0</v>
      </c>
      <c r="AK87" s="72">
        <f t="shared" si="19"/>
        <v>0</v>
      </c>
      <c r="AL87" s="72">
        <f t="shared" si="19"/>
        <v>0</v>
      </c>
      <c r="AM87" s="72">
        <f t="shared" si="19"/>
        <v>0</v>
      </c>
      <c r="AN87" s="72">
        <f t="shared" si="19"/>
        <v>0</v>
      </c>
      <c r="AO87" s="72">
        <f t="shared" si="19"/>
        <v>0</v>
      </c>
      <c r="AP87" s="72">
        <f t="shared" si="19"/>
        <v>0</v>
      </c>
      <c r="AQ87" s="72">
        <f t="shared" si="19"/>
        <v>0</v>
      </c>
      <c r="AR87" s="72">
        <f t="shared" si="19"/>
        <v>0</v>
      </c>
      <c r="AS87" s="72">
        <f t="shared" si="19"/>
        <v>0</v>
      </c>
      <c r="AT87" s="72">
        <f t="shared" si="19"/>
        <v>0</v>
      </c>
      <c r="AU87" s="72">
        <f t="shared" si="19"/>
        <v>0</v>
      </c>
      <c r="AV87" s="72">
        <f t="shared" si="19"/>
        <v>0</v>
      </c>
      <c r="AW87" s="72">
        <f t="shared" si="19"/>
        <v>0</v>
      </c>
      <c r="AX87" s="72">
        <f t="shared" si="19"/>
        <v>0</v>
      </c>
      <c r="AY87" s="72">
        <f t="shared" si="19"/>
        <v>0</v>
      </c>
      <c r="AZ87" s="72">
        <f t="shared" si="19"/>
        <v>0</v>
      </c>
      <c r="BA87" s="72">
        <f t="shared" si="19"/>
        <v>0</v>
      </c>
      <c r="BB87" s="72">
        <f t="shared" si="19"/>
        <v>0</v>
      </c>
    </row>
    <row r="88" spans="4:54">
      <c r="E88" s="36" t="s">
        <v>217</v>
      </c>
      <c r="F88"/>
      <c r="G88" s="19" t="s">
        <v>46</v>
      </c>
      <c r="H88" s="71">
        <f>SUM(I88:BB88)</f>
        <v>550.61998177998714</v>
      </c>
      <c r="I88" s="72">
        <f t="shared" ref="I88:BB88" si="20">I80*I62</f>
        <v>0</v>
      </c>
      <c r="J88" s="72">
        <f t="shared" si="20"/>
        <v>0</v>
      </c>
      <c r="K88" s="72">
        <f t="shared" si="20"/>
        <v>0</v>
      </c>
      <c r="L88" s="72">
        <f t="shared" si="20"/>
        <v>0</v>
      </c>
      <c r="M88" s="72">
        <f t="shared" si="20"/>
        <v>0</v>
      </c>
      <c r="N88" s="72">
        <f t="shared" si="20"/>
        <v>0</v>
      </c>
      <c r="O88" s="72">
        <f t="shared" si="20"/>
        <v>0</v>
      </c>
      <c r="P88" s="72">
        <f t="shared" si="20"/>
        <v>45.967299047007529</v>
      </c>
      <c r="Q88" s="72">
        <f t="shared" si="20"/>
        <v>71.647523500431944</v>
      </c>
      <c r="R88" s="72">
        <f t="shared" si="20"/>
        <v>60.701942730823852</v>
      </c>
      <c r="S88" s="72">
        <f t="shared" si="20"/>
        <v>48.595178545687126</v>
      </c>
      <c r="T88" s="72">
        <f t="shared" si="20"/>
        <v>44.91779270574871</v>
      </c>
      <c r="U88" s="72">
        <f t="shared" si="20"/>
        <v>41.186542300302413</v>
      </c>
      <c r="V88" s="72">
        <f t="shared" si="20"/>
        <v>37.400853417337295</v>
      </c>
      <c r="W88" s="72">
        <f t="shared" si="20"/>
        <v>33.560146749437948</v>
      </c>
      <c r="X88" s="72">
        <f t="shared" si="20"/>
        <v>29.663837546370573</v>
      </c>
      <c r="Y88" s="72">
        <f t="shared" si="20"/>
        <v>25.711335567269526</v>
      </c>
      <c r="Z88" s="72">
        <f t="shared" si="20"/>
        <v>21.702045032421292</v>
      </c>
      <c r="AA88" s="72">
        <f t="shared" si="20"/>
        <v>17.635364574642384</v>
      </c>
      <c r="AB88" s="72">
        <f t="shared" si="20"/>
        <v>13.510687190247992</v>
      </c>
      <c r="AC88" s="72">
        <f t="shared" si="20"/>
        <v>9.3274001896079231</v>
      </c>
      <c r="AD88" s="72">
        <f t="shared" si="20"/>
        <v>9.0084380527749577</v>
      </c>
      <c r="AE88" s="72">
        <f t="shared" si="20"/>
        <v>8.6845534034170448</v>
      </c>
      <c r="AF88" s="72">
        <f t="shared" si="20"/>
        <v>8.3556929555035353</v>
      </c>
      <c r="AG88" s="72">
        <f t="shared" si="20"/>
        <v>8.0218029182024679</v>
      </c>
      <c r="AH88" s="72">
        <f t="shared" si="20"/>
        <v>7.6828289914243655</v>
      </c>
      <c r="AI88" s="72">
        <f t="shared" si="20"/>
        <v>7.3387163613283759</v>
      </c>
      <c r="AJ88" s="72">
        <f t="shared" si="20"/>
        <v>0</v>
      </c>
      <c r="AK88" s="72">
        <f t="shared" si="20"/>
        <v>0</v>
      </c>
      <c r="AL88" s="72">
        <f t="shared" si="20"/>
        <v>0</v>
      </c>
      <c r="AM88" s="72">
        <f t="shared" si="20"/>
        <v>0</v>
      </c>
      <c r="AN88" s="72">
        <f t="shared" si="20"/>
        <v>0</v>
      </c>
      <c r="AO88" s="72">
        <f t="shared" si="20"/>
        <v>0</v>
      </c>
      <c r="AP88" s="72">
        <f t="shared" si="20"/>
        <v>0</v>
      </c>
      <c r="AQ88" s="72">
        <f t="shared" si="20"/>
        <v>0</v>
      </c>
      <c r="AR88" s="72">
        <f t="shared" si="20"/>
        <v>0</v>
      </c>
      <c r="AS88" s="72">
        <f t="shared" si="20"/>
        <v>0</v>
      </c>
      <c r="AT88" s="72">
        <f t="shared" si="20"/>
        <v>0</v>
      </c>
      <c r="AU88" s="72">
        <f t="shared" si="20"/>
        <v>0</v>
      </c>
      <c r="AV88" s="72">
        <f t="shared" si="20"/>
        <v>0</v>
      </c>
      <c r="AW88" s="72">
        <f t="shared" si="20"/>
        <v>0</v>
      </c>
      <c r="AX88" s="72">
        <f t="shared" si="20"/>
        <v>0</v>
      </c>
      <c r="AY88" s="72">
        <f t="shared" si="20"/>
        <v>0</v>
      </c>
      <c r="AZ88" s="72">
        <f t="shared" si="20"/>
        <v>0</v>
      </c>
      <c r="BA88" s="72">
        <f t="shared" si="20"/>
        <v>0</v>
      </c>
      <c r="BB88" s="72">
        <f t="shared" si="20"/>
        <v>0</v>
      </c>
    </row>
    <row r="89" spans="4:54">
      <c r="E89" s="36" t="s">
        <v>218</v>
      </c>
      <c r="F89"/>
      <c r="G89" s="19" t="s">
        <v>46</v>
      </c>
      <c r="H89" s="71">
        <f>SUM(I89:BB89)</f>
        <v>1449.0477253097802</v>
      </c>
      <c r="I89" s="72">
        <f t="shared" ref="I89:BB89" si="21">I81*I63</f>
        <v>0</v>
      </c>
      <c r="J89" s="72">
        <f t="shared" si="21"/>
        <v>0</v>
      </c>
      <c r="K89" s="72">
        <f t="shared" si="21"/>
        <v>0</v>
      </c>
      <c r="L89" s="72">
        <f t="shared" si="21"/>
        <v>0</v>
      </c>
      <c r="M89" s="72">
        <f t="shared" si="21"/>
        <v>0</v>
      </c>
      <c r="N89" s="72">
        <f t="shared" si="21"/>
        <v>0</v>
      </c>
      <c r="O89" s="72">
        <f t="shared" si="21"/>
        <v>0</v>
      </c>
      <c r="P89" s="72">
        <f t="shared" si="21"/>
        <v>51.06080365112701</v>
      </c>
      <c r="Q89" s="72">
        <f t="shared" si="21"/>
        <v>89.550754443026833</v>
      </c>
      <c r="R89" s="72">
        <f t="shared" si="21"/>
        <v>88.20893890211039</v>
      </c>
      <c r="S89" s="72">
        <f t="shared" si="21"/>
        <v>85.165508885722929</v>
      </c>
      <c r="T89" s="72">
        <f t="shared" si="21"/>
        <v>83.355132851418901</v>
      </c>
      <c r="U89" s="72">
        <f t="shared" si="21"/>
        <v>81.515238442699228</v>
      </c>
      <c r="V89" s="72">
        <f t="shared" si="21"/>
        <v>79.645501110747773</v>
      </c>
      <c r="W89" s="72">
        <f t="shared" si="21"/>
        <v>77.745593209465284</v>
      </c>
      <c r="X89" s="72">
        <f t="shared" si="21"/>
        <v>75.81518396801043</v>
      </c>
      <c r="Y89" s="72">
        <f t="shared" si="21"/>
        <v>73.853939463107949</v>
      </c>
      <c r="Z89" s="72">
        <f t="shared" si="21"/>
        <v>71.86152259112238</v>
      </c>
      <c r="AA89" s="72">
        <f t="shared" si="21"/>
        <v>69.83759303989531</v>
      </c>
      <c r="AB89" s="72">
        <f t="shared" si="21"/>
        <v>67.781807260344138</v>
      </c>
      <c r="AC89" s="72">
        <f t="shared" si="21"/>
        <v>65.693818437820269</v>
      </c>
      <c r="AD89" s="72">
        <f t="shared" si="21"/>
        <v>65.410393450053306</v>
      </c>
      <c r="AE89" s="72">
        <f t="shared" si="21"/>
        <v>65.119781515354163</v>
      </c>
      <c r="AF89" s="72">
        <f t="shared" si="21"/>
        <v>64.821895904290173</v>
      </c>
      <c r="AG89" s="72">
        <f t="shared" si="21"/>
        <v>64.516649025377049</v>
      </c>
      <c r="AH89" s="72">
        <f t="shared" si="21"/>
        <v>64.203952417259828</v>
      </c>
      <c r="AI89" s="72">
        <f t="shared" si="21"/>
        <v>63.883716740826685</v>
      </c>
      <c r="AJ89" s="72">
        <f t="shared" si="21"/>
        <v>0</v>
      </c>
      <c r="AK89" s="72">
        <f t="shared" si="21"/>
        <v>0</v>
      </c>
      <c r="AL89" s="72">
        <f t="shared" si="21"/>
        <v>0</v>
      </c>
      <c r="AM89" s="72">
        <f t="shared" si="21"/>
        <v>0</v>
      </c>
      <c r="AN89" s="72">
        <f t="shared" si="21"/>
        <v>0</v>
      </c>
      <c r="AO89" s="72">
        <f t="shared" si="21"/>
        <v>0</v>
      </c>
      <c r="AP89" s="72">
        <f t="shared" si="21"/>
        <v>0</v>
      </c>
      <c r="AQ89" s="72">
        <f t="shared" si="21"/>
        <v>0</v>
      </c>
      <c r="AR89" s="72">
        <f t="shared" si="21"/>
        <v>0</v>
      </c>
      <c r="AS89" s="72">
        <f t="shared" si="21"/>
        <v>0</v>
      </c>
      <c r="AT89" s="72">
        <f t="shared" si="21"/>
        <v>0</v>
      </c>
      <c r="AU89" s="72">
        <f t="shared" si="21"/>
        <v>0</v>
      </c>
      <c r="AV89" s="72">
        <f t="shared" si="21"/>
        <v>0</v>
      </c>
      <c r="AW89" s="72">
        <f t="shared" si="21"/>
        <v>0</v>
      </c>
      <c r="AX89" s="72">
        <f t="shared" si="21"/>
        <v>0</v>
      </c>
      <c r="AY89" s="72">
        <f t="shared" si="21"/>
        <v>0</v>
      </c>
      <c r="AZ89" s="72">
        <f t="shared" si="21"/>
        <v>0</v>
      </c>
      <c r="BA89" s="72">
        <f t="shared" si="21"/>
        <v>0</v>
      </c>
      <c r="BB89" s="72">
        <f t="shared" si="21"/>
        <v>0</v>
      </c>
    </row>
    <row r="90" spans="4:54">
      <c r="E90" s="36" t="s">
        <v>219</v>
      </c>
      <c r="F90"/>
      <c r="G90" s="19" t="s">
        <v>46</v>
      </c>
      <c r="H90" s="71">
        <f>SUM(I90:BB90)</f>
        <v>169.38906923757742</v>
      </c>
      <c r="I90" s="72">
        <f t="shared" ref="I90:BB90" si="22">I82*I64</f>
        <v>0</v>
      </c>
      <c r="J90" s="72">
        <f t="shared" si="22"/>
        <v>0</v>
      </c>
      <c r="K90" s="72">
        <f t="shared" si="22"/>
        <v>0</v>
      </c>
      <c r="L90" s="72">
        <f t="shared" si="22"/>
        <v>0</v>
      </c>
      <c r="M90" s="72">
        <f t="shared" si="22"/>
        <v>0</v>
      </c>
      <c r="N90" s="72">
        <f t="shared" si="22"/>
        <v>0</v>
      </c>
      <c r="O90" s="72">
        <f t="shared" si="22"/>
        <v>0</v>
      </c>
      <c r="P90" s="72">
        <f t="shared" si="22"/>
        <v>4.7358916799463389</v>
      </c>
      <c r="Q90" s="72">
        <f t="shared" si="22"/>
        <v>8.571045483650126</v>
      </c>
      <c r="R90" s="72">
        <f t="shared" si="22"/>
        <v>8.719303599885011</v>
      </c>
      <c r="S90" s="72">
        <f t="shared" si="22"/>
        <v>8.6667540516414476</v>
      </c>
      <c r="T90" s="72">
        <f t="shared" si="22"/>
        <v>8.6621159842158235</v>
      </c>
      <c r="U90" s="72">
        <f t="shared" si="22"/>
        <v>8.6569883128977061</v>
      </c>
      <c r="V90" s="72">
        <f t="shared" si="22"/>
        <v>8.6513644104979122</v>
      </c>
      <c r="W90" s="72">
        <f t="shared" si="22"/>
        <v>8.6452375810371862</v>
      </c>
      <c r="X90" s="72">
        <f t="shared" si="22"/>
        <v>8.6386010591078968</v>
      </c>
      <c r="Y90" s="72">
        <f t="shared" si="22"/>
        <v>8.6314480092301284</v>
      </c>
      <c r="Z90" s="72">
        <f t="shared" si="22"/>
        <v>8.6237715252021712</v>
      </c>
      <c r="AA90" s="72">
        <f t="shared" si="22"/>
        <v>8.6155646294453732</v>
      </c>
      <c r="AB90" s="72">
        <f t="shared" si="22"/>
        <v>8.6068202723432456</v>
      </c>
      <c r="AC90" s="72">
        <f t="shared" si="22"/>
        <v>8.5975313315748387</v>
      </c>
      <c r="AD90" s="72">
        <f t="shared" si="22"/>
        <v>8.6345813139942234</v>
      </c>
      <c r="AE90" s="72">
        <f t="shared" si="22"/>
        <v>8.6717287171322344</v>
      </c>
      <c r="AF90" s="72">
        <f t="shared" si="22"/>
        <v>8.7089730894297919</v>
      </c>
      <c r="AG90" s="72">
        <f t="shared" si="22"/>
        <v>8.7463139682323749</v>
      </c>
      <c r="AH90" s="72">
        <f t="shared" si="22"/>
        <v>8.7837508796568144</v>
      </c>
      <c r="AI90" s="72">
        <f t="shared" si="22"/>
        <v>8.8212833384567464</v>
      </c>
      <c r="AJ90" s="72">
        <f t="shared" si="22"/>
        <v>0</v>
      </c>
      <c r="AK90" s="72">
        <f t="shared" si="22"/>
        <v>0</v>
      </c>
      <c r="AL90" s="72">
        <f t="shared" si="22"/>
        <v>0</v>
      </c>
      <c r="AM90" s="72">
        <f t="shared" si="22"/>
        <v>0</v>
      </c>
      <c r="AN90" s="72">
        <f t="shared" si="22"/>
        <v>0</v>
      </c>
      <c r="AO90" s="72">
        <f t="shared" si="22"/>
        <v>0</v>
      </c>
      <c r="AP90" s="72">
        <f t="shared" si="22"/>
        <v>0</v>
      </c>
      <c r="AQ90" s="72">
        <f t="shared" si="22"/>
        <v>0</v>
      </c>
      <c r="AR90" s="72">
        <f t="shared" si="22"/>
        <v>0</v>
      </c>
      <c r="AS90" s="72">
        <f t="shared" si="22"/>
        <v>0</v>
      </c>
      <c r="AT90" s="72">
        <f t="shared" si="22"/>
        <v>0</v>
      </c>
      <c r="AU90" s="72">
        <f t="shared" si="22"/>
        <v>0</v>
      </c>
      <c r="AV90" s="72">
        <f t="shared" si="22"/>
        <v>0</v>
      </c>
      <c r="AW90" s="72">
        <f t="shared" si="22"/>
        <v>0</v>
      </c>
      <c r="AX90" s="72">
        <f t="shared" si="22"/>
        <v>0</v>
      </c>
      <c r="AY90" s="72">
        <f t="shared" si="22"/>
        <v>0</v>
      </c>
      <c r="AZ90" s="72">
        <f t="shared" si="22"/>
        <v>0</v>
      </c>
      <c r="BA90" s="72">
        <f t="shared" si="22"/>
        <v>0</v>
      </c>
      <c r="BB90" s="72">
        <f t="shared" si="22"/>
        <v>0</v>
      </c>
    </row>
    <row r="91" spans="4:54">
      <c r="E91" s="256" t="s">
        <v>220</v>
      </c>
      <c r="G91" s="19" t="s">
        <v>46</v>
      </c>
      <c r="H91" s="71">
        <f>SUM(I91:BB91)</f>
        <v>154588.7530403985</v>
      </c>
      <c r="I91" s="72">
        <f t="shared" ref="I91:BB91" si="23">SUM(I87:I90)</f>
        <v>0</v>
      </c>
      <c r="J91" s="72">
        <f t="shared" si="23"/>
        <v>0</v>
      </c>
      <c r="K91" s="72">
        <f t="shared" si="23"/>
        <v>0</v>
      </c>
      <c r="L91" s="72">
        <f t="shared" si="23"/>
        <v>0</v>
      </c>
      <c r="M91" s="72">
        <f t="shared" si="23"/>
        <v>0</v>
      </c>
      <c r="N91" s="72">
        <f t="shared" si="23"/>
        <v>0</v>
      </c>
      <c r="O91" s="72">
        <f t="shared" si="23"/>
        <v>0</v>
      </c>
      <c r="P91" s="72">
        <f>SUM(P87:P90)</f>
        <v>3922.6938454585625</v>
      </c>
      <c r="Q91" s="72">
        <f t="shared" si="23"/>
        <v>7061.6649924474759</v>
      </c>
      <c r="R91" s="72">
        <f t="shared" si="23"/>
        <v>7091.3549968185898</v>
      </c>
      <c r="S91" s="72">
        <f t="shared" si="23"/>
        <v>7143.32809612049</v>
      </c>
      <c r="T91" s="72">
        <f t="shared" si="23"/>
        <v>7270.2280676531955</v>
      </c>
      <c r="U91" s="72">
        <f t="shared" si="23"/>
        <v>7342.0674530551951</v>
      </c>
      <c r="V91" s="72">
        <f t="shared" si="23"/>
        <v>7467.6927852393837</v>
      </c>
      <c r="W91" s="72">
        <f t="shared" si="23"/>
        <v>7565.448008836187</v>
      </c>
      <c r="X91" s="72">
        <f t="shared" si="23"/>
        <v>7662.5175483057183</v>
      </c>
      <c r="Y91" s="72">
        <f t="shared" si="23"/>
        <v>7758.8751956820606</v>
      </c>
      <c r="Z91" s="72">
        <f t="shared" si="23"/>
        <v>7881.600295446463</v>
      </c>
      <c r="AA91" s="72">
        <f t="shared" si="23"/>
        <v>7949.3478969636371</v>
      </c>
      <c r="AB91" s="72">
        <f t="shared" si="23"/>
        <v>8043.4084341953485</v>
      </c>
      <c r="AC91" s="72">
        <f t="shared" si="23"/>
        <v>8163.6716237880346</v>
      </c>
      <c r="AD91" s="72">
        <f t="shared" si="23"/>
        <v>8306.491604743127</v>
      </c>
      <c r="AE91" s="72">
        <f t="shared" si="23"/>
        <v>8477.5822667408611</v>
      </c>
      <c r="AF91" s="72">
        <f t="shared" si="23"/>
        <v>8622.5501127524203</v>
      </c>
      <c r="AG91" s="72">
        <f t="shared" si="23"/>
        <v>8796.0295711734088</v>
      </c>
      <c r="AH91" s="72">
        <f t="shared" si="23"/>
        <v>8943.1587378458134</v>
      </c>
      <c r="AI91" s="72">
        <f t="shared" si="23"/>
        <v>9119.0415071325351</v>
      </c>
      <c r="AJ91" s="72">
        <f t="shared" si="23"/>
        <v>0</v>
      </c>
      <c r="AK91" s="72">
        <f t="shared" si="23"/>
        <v>0</v>
      </c>
      <c r="AL91" s="72">
        <f t="shared" si="23"/>
        <v>0</v>
      </c>
      <c r="AM91" s="72">
        <f t="shared" si="23"/>
        <v>0</v>
      </c>
      <c r="AN91" s="72">
        <f t="shared" si="23"/>
        <v>0</v>
      </c>
      <c r="AO91" s="72">
        <f t="shared" si="23"/>
        <v>0</v>
      </c>
      <c r="AP91" s="72">
        <f t="shared" si="23"/>
        <v>0</v>
      </c>
      <c r="AQ91" s="72">
        <f t="shared" si="23"/>
        <v>0</v>
      </c>
      <c r="AR91" s="72">
        <f t="shared" si="23"/>
        <v>0</v>
      </c>
      <c r="AS91" s="72">
        <f t="shared" si="23"/>
        <v>0</v>
      </c>
      <c r="AT91" s="72">
        <f t="shared" si="23"/>
        <v>0</v>
      </c>
      <c r="AU91" s="72">
        <f t="shared" si="23"/>
        <v>0</v>
      </c>
      <c r="AV91" s="72">
        <f t="shared" si="23"/>
        <v>0</v>
      </c>
      <c r="AW91" s="72">
        <f t="shared" si="23"/>
        <v>0</v>
      </c>
      <c r="AX91" s="72">
        <f t="shared" si="23"/>
        <v>0</v>
      </c>
      <c r="AY91" s="72">
        <f t="shared" si="23"/>
        <v>0</v>
      </c>
      <c r="AZ91" s="72">
        <f t="shared" si="23"/>
        <v>0</v>
      </c>
      <c r="BA91" s="72">
        <f t="shared" si="23"/>
        <v>0</v>
      </c>
      <c r="BB91" s="72">
        <f t="shared" si="23"/>
        <v>0</v>
      </c>
    </row>
    <row r="92" spans="4:54">
      <c r="G92" s="19"/>
      <c r="H92" s="71"/>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row>
    <row r="93" spans="4:54">
      <c r="D93" s="12" t="s">
        <v>221</v>
      </c>
      <c r="G93" s="19"/>
      <c r="H93" s="71"/>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row>
    <row r="94" spans="4:54">
      <c r="E94" s="36" t="s">
        <v>216</v>
      </c>
      <c r="F94"/>
      <c r="G94" s="19" t="s">
        <v>46</v>
      </c>
      <c r="H94" s="71">
        <f>SUM(I94:BB94)</f>
        <v>113529.81597743263</v>
      </c>
      <c r="I94" s="72">
        <f t="shared" ref="I94:BB94" si="24">I87*I$5</f>
        <v>0</v>
      </c>
      <c r="J94" s="72">
        <f t="shared" si="24"/>
        <v>0</v>
      </c>
      <c r="K94" s="72">
        <f t="shared" si="24"/>
        <v>0</v>
      </c>
      <c r="L94" s="72">
        <f t="shared" si="24"/>
        <v>0</v>
      </c>
      <c r="M94" s="72">
        <f t="shared" si="24"/>
        <v>0</v>
      </c>
      <c r="N94" s="72">
        <f t="shared" si="24"/>
        <v>0</v>
      </c>
      <c r="O94" s="72">
        <f t="shared" si="24"/>
        <v>0</v>
      </c>
      <c r="P94" s="72">
        <f>P87*P$5</f>
        <v>3460.7338883224247</v>
      </c>
      <c r="Q94" s="72">
        <f t="shared" si="24"/>
        <v>6119.806123103046</v>
      </c>
      <c r="R94" s="72">
        <f t="shared" si="24"/>
        <v>6036.2247104338348</v>
      </c>
      <c r="S94" s="72">
        <f t="shared" si="24"/>
        <v>5975.201298391602</v>
      </c>
      <c r="T94" s="72">
        <f t="shared" si="24"/>
        <v>5968.8205026117694</v>
      </c>
      <c r="U94" s="72">
        <f t="shared" si="24"/>
        <v>5915.2926098138405</v>
      </c>
      <c r="V94" s="72">
        <f t="shared" si="24"/>
        <v>5904.8952650310212</v>
      </c>
      <c r="W94" s="72">
        <f t="shared" si="24"/>
        <v>5870.7235979905736</v>
      </c>
      <c r="X94" s="72">
        <f t="shared" si="24"/>
        <v>5835.158654902888</v>
      </c>
      <c r="Y94" s="72">
        <f t="shared" si="24"/>
        <v>5798.2581355709963</v>
      </c>
      <c r="Z94" s="72">
        <f t="shared" si="24"/>
        <v>5780.2184171927365</v>
      </c>
      <c r="AA94" s="72">
        <f t="shared" si="24"/>
        <v>5720.6739155265986</v>
      </c>
      <c r="AB94" s="72">
        <f t="shared" si="24"/>
        <v>5680.0984533506526</v>
      </c>
      <c r="AC94" s="72">
        <f t="shared" si="24"/>
        <v>5657.3247698293226</v>
      </c>
      <c r="AD94" s="72">
        <f t="shared" si="24"/>
        <v>5644.8209260074091</v>
      </c>
      <c r="AE94" s="72">
        <f t="shared" si="24"/>
        <v>5649.6658130872693</v>
      </c>
      <c r="AF94" s="72">
        <f t="shared" si="24"/>
        <v>5634.9232700112025</v>
      </c>
      <c r="AG94" s="72">
        <f t="shared" si="24"/>
        <v>5637.0371292708724</v>
      </c>
      <c r="AH94" s="72">
        <f t="shared" si="24"/>
        <v>5620.1993410796485</v>
      </c>
      <c r="AI94" s="72">
        <f t="shared" si="24"/>
        <v>5619.7391559049138</v>
      </c>
      <c r="AJ94" s="72">
        <f t="shared" si="24"/>
        <v>0</v>
      </c>
      <c r="AK94" s="72">
        <f t="shared" si="24"/>
        <v>0</v>
      </c>
      <c r="AL94" s="72">
        <f t="shared" si="24"/>
        <v>0</v>
      </c>
      <c r="AM94" s="72">
        <f t="shared" si="24"/>
        <v>0</v>
      </c>
      <c r="AN94" s="72">
        <f t="shared" si="24"/>
        <v>0</v>
      </c>
      <c r="AO94" s="72">
        <f t="shared" si="24"/>
        <v>0</v>
      </c>
      <c r="AP94" s="72">
        <f t="shared" si="24"/>
        <v>0</v>
      </c>
      <c r="AQ94" s="72">
        <f t="shared" si="24"/>
        <v>0</v>
      </c>
      <c r="AR94" s="72">
        <f t="shared" si="24"/>
        <v>0</v>
      </c>
      <c r="AS94" s="72">
        <f t="shared" si="24"/>
        <v>0</v>
      </c>
      <c r="AT94" s="72">
        <f t="shared" si="24"/>
        <v>0</v>
      </c>
      <c r="AU94" s="72">
        <f t="shared" si="24"/>
        <v>0</v>
      </c>
      <c r="AV94" s="72">
        <f t="shared" si="24"/>
        <v>0</v>
      </c>
      <c r="AW94" s="72">
        <f t="shared" si="24"/>
        <v>0</v>
      </c>
      <c r="AX94" s="72">
        <f t="shared" si="24"/>
        <v>0</v>
      </c>
      <c r="AY94" s="72">
        <f t="shared" si="24"/>
        <v>0</v>
      </c>
      <c r="AZ94" s="72">
        <f t="shared" si="24"/>
        <v>0</v>
      </c>
      <c r="BA94" s="72">
        <f t="shared" si="24"/>
        <v>0</v>
      </c>
      <c r="BB94" s="72">
        <f t="shared" si="24"/>
        <v>0</v>
      </c>
    </row>
    <row r="95" spans="4:54">
      <c r="E95" s="36" t="s">
        <v>217</v>
      </c>
      <c r="F95"/>
      <c r="G95" s="19" t="s">
        <v>46</v>
      </c>
      <c r="H95" s="71">
        <f t="shared" ref="H95:H98" si="25">SUM(I95:BB95)</f>
        <v>400.95856783436005</v>
      </c>
      <c r="I95" s="72">
        <f t="shared" ref="I95:BB95" si="26">I88*I$4</f>
        <v>0</v>
      </c>
      <c r="J95" s="72">
        <f t="shared" si="26"/>
        <v>0</v>
      </c>
      <c r="K95" s="72">
        <f t="shared" si="26"/>
        <v>0</v>
      </c>
      <c r="L95" s="72">
        <f t="shared" si="26"/>
        <v>0</v>
      </c>
      <c r="M95" s="72">
        <f t="shared" si="26"/>
        <v>0</v>
      </c>
      <c r="N95" s="72">
        <f t="shared" si="26"/>
        <v>0</v>
      </c>
      <c r="O95" s="72">
        <f t="shared" si="26"/>
        <v>0</v>
      </c>
      <c r="P95" s="72">
        <f t="shared" si="26"/>
        <v>39.459870872718085</v>
      </c>
      <c r="Q95" s="72">
        <f t="shared" si="26"/>
        <v>59.655321678172228</v>
      </c>
      <c r="R95" s="72">
        <f t="shared" si="26"/>
        <v>49.022102496206273</v>
      </c>
      <c r="S95" s="72">
        <f t="shared" si="26"/>
        <v>38.064826959548682</v>
      </c>
      <c r="T95" s="72">
        <f t="shared" si="26"/>
        <v>34.12639545110396</v>
      </c>
      <c r="U95" s="72">
        <f t="shared" si="26"/>
        <v>30.350697813573799</v>
      </c>
      <c r="V95" s="72">
        <f t="shared" si="26"/>
        <v>26.732291855518483</v>
      </c>
      <c r="W95" s="72">
        <f t="shared" si="26"/>
        <v>23.265900573553463</v>
      </c>
      <c r="X95" s="72">
        <f t="shared" si="26"/>
        <v>19.946407410760376</v>
      </c>
      <c r="Y95" s="72">
        <f t="shared" si="26"/>
        <v>16.768851646338383</v>
      </c>
      <c r="Z95" s="72">
        <f t="shared" si="26"/>
        <v>13.728423912955266</v>
      </c>
      <c r="AA95" s="72">
        <f t="shared" si="26"/>
        <v>10.820461838351134</v>
      </c>
      <c r="AB95" s="72">
        <f t="shared" si="26"/>
        <v>8.0404458078390757</v>
      </c>
      <c r="AC95" s="72">
        <f t="shared" si="26"/>
        <v>5.3839948444358692</v>
      </c>
      <c r="AD95" s="72">
        <f t="shared" si="26"/>
        <v>5.0435328753805786</v>
      </c>
      <c r="AE95" s="72">
        <f t="shared" si="26"/>
        <v>4.7160042132803079</v>
      </c>
      <c r="AF95" s="72">
        <f t="shared" si="26"/>
        <v>4.4009912159069646</v>
      </c>
      <c r="AG95" s="72">
        <f t="shared" si="26"/>
        <v>4.0980886767603701</v>
      </c>
      <c r="AH95" s="72">
        <f t="shared" si="26"/>
        <v>3.8069034724143203</v>
      </c>
      <c r="AI95" s="72">
        <f t="shared" si="26"/>
        <v>3.5270542195423737</v>
      </c>
      <c r="AJ95" s="72">
        <f t="shared" si="26"/>
        <v>0</v>
      </c>
      <c r="AK95" s="72">
        <f t="shared" si="26"/>
        <v>0</v>
      </c>
      <c r="AL95" s="72">
        <f t="shared" si="26"/>
        <v>0</v>
      </c>
      <c r="AM95" s="72">
        <f t="shared" si="26"/>
        <v>0</v>
      </c>
      <c r="AN95" s="72">
        <f t="shared" si="26"/>
        <v>0</v>
      </c>
      <c r="AO95" s="72">
        <f t="shared" si="26"/>
        <v>0</v>
      </c>
      <c r="AP95" s="72">
        <f t="shared" si="26"/>
        <v>0</v>
      </c>
      <c r="AQ95" s="72">
        <f t="shared" si="26"/>
        <v>0</v>
      </c>
      <c r="AR95" s="72">
        <f t="shared" si="26"/>
        <v>0</v>
      </c>
      <c r="AS95" s="72">
        <f t="shared" si="26"/>
        <v>0</v>
      </c>
      <c r="AT95" s="72">
        <f t="shared" si="26"/>
        <v>0</v>
      </c>
      <c r="AU95" s="72">
        <f t="shared" si="26"/>
        <v>0</v>
      </c>
      <c r="AV95" s="72">
        <f t="shared" si="26"/>
        <v>0</v>
      </c>
      <c r="AW95" s="72">
        <f t="shared" si="26"/>
        <v>0</v>
      </c>
      <c r="AX95" s="72">
        <f t="shared" si="26"/>
        <v>0</v>
      </c>
      <c r="AY95" s="72">
        <f t="shared" si="26"/>
        <v>0</v>
      </c>
      <c r="AZ95" s="72">
        <f t="shared" si="26"/>
        <v>0</v>
      </c>
      <c r="BA95" s="72">
        <f t="shared" si="26"/>
        <v>0</v>
      </c>
      <c r="BB95" s="72">
        <f t="shared" si="26"/>
        <v>0</v>
      </c>
    </row>
    <row r="96" spans="4:54">
      <c r="E96" s="36" t="s">
        <v>218</v>
      </c>
      <c r="F96"/>
      <c r="G96" s="19" t="s">
        <v>46</v>
      </c>
      <c r="H96" s="71">
        <f t="shared" si="25"/>
        <v>957.87927481709221</v>
      </c>
      <c r="I96" s="72">
        <f t="shared" ref="I96:BB96" si="27">I89*I$4</f>
        <v>0</v>
      </c>
      <c r="J96" s="72">
        <f t="shared" si="27"/>
        <v>0</v>
      </c>
      <c r="K96" s="72">
        <f t="shared" si="27"/>
        <v>0</v>
      </c>
      <c r="L96" s="72">
        <f t="shared" si="27"/>
        <v>0</v>
      </c>
      <c r="M96" s="72">
        <f t="shared" si="27"/>
        <v>0</v>
      </c>
      <c r="N96" s="72">
        <f t="shared" si="27"/>
        <v>0</v>
      </c>
      <c r="O96" s="72">
        <f t="shared" si="27"/>
        <v>0</v>
      </c>
      <c r="P96" s="72">
        <f t="shared" si="27"/>
        <v>43.832306019769305</v>
      </c>
      <c r="Q96" s="72">
        <f t="shared" si="27"/>
        <v>74.561949971509762</v>
      </c>
      <c r="R96" s="72">
        <f t="shared" si="27"/>
        <v>71.236396224021874</v>
      </c>
      <c r="S96" s="72">
        <f t="shared" si="27"/>
        <v>66.710534988756891</v>
      </c>
      <c r="T96" s="72">
        <f t="shared" si="27"/>
        <v>63.329252289878589</v>
      </c>
      <c r="U96" s="72">
        <f t="shared" si="27"/>
        <v>60.069241820224676</v>
      </c>
      <c r="V96" s="72">
        <f t="shared" si="27"/>
        <v>56.926689798061567</v>
      </c>
      <c r="W96" s="72">
        <f t="shared" si="27"/>
        <v>53.89789428360131</v>
      </c>
      <c r="X96" s="72">
        <f t="shared" si="27"/>
        <v>50.979262038626899</v>
      </c>
      <c r="Y96" s="72">
        <f t="shared" si="27"/>
        <v>48.167305471717768</v>
      </c>
      <c r="Z96" s="72">
        <f t="shared" si="27"/>
        <v>45.458639666792315</v>
      </c>
      <c r="AA96" s="72">
        <f t="shared" si="27"/>
        <v>42.84997949274365</v>
      </c>
      <c r="AB96" s="72">
        <f t="shared" si="27"/>
        <v>40.338136792003304</v>
      </c>
      <c r="AC96" s="72">
        <f t="shared" si="27"/>
        <v>37.920017645924332</v>
      </c>
      <c r="AD96" s="72">
        <f t="shared" si="27"/>
        <v>36.621162050983976</v>
      </c>
      <c r="AE96" s="72">
        <f t="shared" si="27"/>
        <v>35.362228744366874</v>
      </c>
      <c r="AF96" s="72">
        <f t="shared" si="27"/>
        <v>34.142062901595089</v>
      </c>
      <c r="AG96" s="72">
        <f t="shared" si="27"/>
        <v>32.959541829864158</v>
      </c>
      <c r="AH96" s="72">
        <f t="shared" si="27"/>
        <v>31.813574097876163</v>
      </c>
      <c r="AI96" s="72">
        <f t="shared" si="27"/>
        <v>30.703098688773586</v>
      </c>
      <c r="AJ96" s="72">
        <f t="shared" si="27"/>
        <v>0</v>
      </c>
      <c r="AK96" s="72">
        <f t="shared" si="27"/>
        <v>0</v>
      </c>
      <c r="AL96" s="72">
        <f t="shared" si="27"/>
        <v>0</v>
      </c>
      <c r="AM96" s="72">
        <f t="shared" si="27"/>
        <v>0</v>
      </c>
      <c r="AN96" s="72">
        <f t="shared" si="27"/>
        <v>0</v>
      </c>
      <c r="AO96" s="72">
        <f t="shared" si="27"/>
        <v>0</v>
      </c>
      <c r="AP96" s="72">
        <f t="shared" si="27"/>
        <v>0</v>
      </c>
      <c r="AQ96" s="72">
        <f t="shared" si="27"/>
        <v>0</v>
      </c>
      <c r="AR96" s="72">
        <f t="shared" si="27"/>
        <v>0</v>
      </c>
      <c r="AS96" s="72">
        <f t="shared" si="27"/>
        <v>0</v>
      </c>
      <c r="AT96" s="72">
        <f t="shared" si="27"/>
        <v>0</v>
      </c>
      <c r="AU96" s="72">
        <f t="shared" si="27"/>
        <v>0</v>
      </c>
      <c r="AV96" s="72">
        <f t="shared" si="27"/>
        <v>0</v>
      </c>
      <c r="AW96" s="72">
        <f t="shared" si="27"/>
        <v>0</v>
      </c>
      <c r="AX96" s="72">
        <f t="shared" si="27"/>
        <v>0</v>
      </c>
      <c r="AY96" s="72">
        <f t="shared" si="27"/>
        <v>0</v>
      </c>
      <c r="AZ96" s="72">
        <f t="shared" si="27"/>
        <v>0</v>
      </c>
      <c r="BA96" s="72">
        <f t="shared" si="27"/>
        <v>0</v>
      </c>
      <c r="BB96" s="72">
        <f t="shared" si="27"/>
        <v>0</v>
      </c>
    </row>
    <row r="97" spans="1:54">
      <c r="E97" s="36" t="s">
        <v>219</v>
      </c>
      <c r="F97"/>
      <c r="G97" s="19" t="s">
        <v>46</v>
      </c>
      <c r="H97" s="71">
        <f t="shared" si="25"/>
        <v>109.62458013805282</v>
      </c>
      <c r="I97" s="72">
        <f t="shared" ref="I97:BB97" si="28">I90*I$4</f>
        <v>0</v>
      </c>
      <c r="J97" s="72">
        <f t="shared" si="28"/>
        <v>0</v>
      </c>
      <c r="K97" s="72">
        <f t="shared" si="28"/>
        <v>0</v>
      </c>
      <c r="L97" s="72">
        <f t="shared" si="28"/>
        <v>0</v>
      </c>
      <c r="M97" s="72">
        <f t="shared" si="28"/>
        <v>0</v>
      </c>
      <c r="N97" s="72">
        <f t="shared" si="28"/>
        <v>0</v>
      </c>
      <c r="O97" s="72">
        <f t="shared" si="28"/>
        <v>0</v>
      </c>
      <c r="P97" s="72">
        <f t="shared" si="28"/>
        <v>4.0654482215010237</v>
      </c>
      <c r="Q97" s="72">
        <f t="shared" si="28"/>
        <v>7.1364431101698997</v>
      </c>
      <c r="R97" s="72">
        <f t="shared" si="28"/>
        <v>7.0415966201367421</v>
      </c>
      <c r="S97" s="72">
        <f t="shared" si="28"/>
        <v>6.7887083276490605</v>
      </c>
      <c r="T97" s="72">
        <f t="shared" si="28"/>
        <v>6.5810623744840688</v>
      </c>
      <c r="U97" s="72">
        <f t="shared" si="28"/>
        <v>6.3794050577163679</v>
      </c>
      <c r="V97" s="72">
        <f t="shared" si="28"/>
        <v>6.183570085667335</v>
      </c>
      <c r="W97" s="72">
        <f t="shared" si="28"/>
        <v>5.9933956635194878</v>
      </c>
      <c r="X97" s="72">
        <f t="shared" si="28"/>
        <v>5.8087243740678636</v>
      </c>
      <c r="Y97" s="72">
        <f t="shared" si="28"/>
        <v>5.6294030615864168</v>
      </c>
      <c r="Z97" s="72">
        <f t="shared" si="28"/>
        <v>5.455282718729082</v>
      </c>
      <c r="AA97" s="72">
        <f t="shared" si="28"/>
        <v>5.286218376387148</v>
      </c>
      <c r="AB97" s="72">
        <f t="shared" si="28"/>
        <v>5.1220689964265533</v>
      </c>
      <c r="AC97" s="72">
        <f t="shared" si="28"/>
        <v>4.962697367230744</v>
      </c>
      <c r="AD97" s="72">
        <f t="shared" si="28"/>
        <v>4.8342225885498467</v>
      </c>
      <c r="AE97" s="72">
        <f t="shared" si="28"/>
        <v>4.7090399778448546</v>
      </c>
      <c r="AF97" s="72">
        <f t="shared" si="28"/>
        <v>4.5870658807424913</v>
      </c>
      <c r="AG97" s="72">
        <f t="shared" si="28"/>
        <v>4.4682187535761493</v>
      </c>
      <c r="AH97" s="72">
        <f t="shared" si="28"/>
        <v>4.3524191104491097</v>
      </c>
      <c r="AI97" s="72">
        <f t="shared" si="28"/>
        <v>4.2395894716185669</v>
      </c>
      <c r="AJ97" s="72">
        <f t="shared" si="28"/>
        <v>0</v>
      </c>
      <c r="AK97" s="72">
        <f t="shared" si="28"/>
        <v>0</v>
      </c>
      <c r="AL97" s="72">
        <f t="shared" si="28"/>
        <v>0</v>
      </c>
      <c r="AM97" s="72">
        <f t="shared" si="28"/>
        <v>0</v>
      </c>
      <c r="AN97" s="72">
        <f t="shared" si="28"/>
        <v>0</v>
      </c>
      <c r="AO97" s="72">
        <f t="shared" si="28"/>
        <v>0</v>
      </c>
      <c r="AP97" s="72">
        <f t="shared" si="28"/>
        <v>0</v>
      </c>
      <c r="AQ97" s="72">
        <f t="shared" si="28"/>
        <v>0</v>
      </c>
      <c r="AR97" s="72">
        <f t="shared" si="28"/>
        <v>0</v>
      </c>
      <c r="AS97" s="72">
        <f t="shared" si="28"/>
        <v>0</v>
      </c>
      <c r="AT97" s="72">
        <f t="shared" si="28"/>
        <v>0</v>
      </c>
      <c r="AU97" s="72">
        <f t="shared" si="28"/>
        <v>0</v>
      </c>
      <c r="AV97" s="72">
        <f t="shared" si="28"/>
        <v>0</v>
      </c>
      <c r="AW97" s="72">
        <f t="shared" si="28"/>
        <v>0</v>
      </c>
      <c r="AX97" s="72">
        <f t="shared" si="28"/>
        <v>0</v>
      </c>
      <c r="AY97" s="72">
        <f t="shared" si="28"/>
        <v>0</v>
      </c>
      <c r="AZ97" s="72">
        <f t="shared" si="28"/>
        <v>0</v>
      </c>
      <c r="BA97" s="72">
        <f t="shared" si="28"/>
        <v>0</v>
      </c>
      <c r="BB97" s="72">
        <f t="shared" si="28"/>
        <v>0</v>
      </c>
    </row>
    <row r="98" spans="1:54">
      <c r="E98" s="256" t="s">
        <v>222</v>
      </c>
      <c r="G98" s="19" t="s">
        <v>46</v>
      </c>
      <c r="H98" s="71">
        <f t="shared" si="25"/>
        <v>114998.27840022212</v>
      </c>
      <c r="I98" s="66">
        <f t="shared" ref="I98:O98" si="29">SUM(I94:I97)</f>
        <v>0</v>
      </c>
      <c r="J98" s="66">
        <f t="shared" si="29"/>
        <v>0</v>
      </c>
      <c r="K98" s="66">
        <f t="shared" si="29"/>
        <v>0</v>
      </c>
      <c r="L98" s="66">
        <f t="shared" si="29"/>
        <v>0</v>
      </c>
      <c r="M98" s="66">
        <f t="shared" si="29"/>
        <v>0</v>
      </c>
      <c r="N98" s="66">
        <f t="shared" si="29"/>
        <v>0</v>
      </c>
      <c r="O98" s="66">
        <f t="shared" si="29"/>
        <v>0</v>
      </c>
      <c r="P98" s="66">
        <f>SUM(P94:P97)</f>
        <v>3548.0915134364132</v>
      </c>
      <c r="Q98" s="66">
        <f t="shared" ref="Q98:BB98" si="30">SUM(Q94:Q97)</f>
        <v>6261.1598378628978</v>
      </c>
      <c r="R98" s="66">
        <f t="shared" si="30"/>
        <v>6163.5248057742001</v>
      </c>
      <c r="S98" s="66">
        <f t="shared" si="30"/>
        <v>6086.7653686675567</v>
      </c>
      <c r="T98" s="66">
        <f t="shared" si="30"/>
        <v>6072.8572127272355</v>
      </c>
      <c r="U98" s="66">
        <f t="shared" si="30"/>
        <v>6012.0919545053548</v>
      </c>
      <c r="V98" s="66">
        <f t="shared" si="30"/>
        <v>5994.7378167702682</v>
      </c>
      <c r="W98" s="66">
        <f t="shared" si="30"/>
        <v>5953.8807885112474</v>
      </c>
      <c r="X98" s="66">
        <f t="shared" si="30"/>
        <v>5911.8930487263424</v>
      </c>
      <c r="Y98" s="66">
        <f t="shared" si="30"/>
        <v>5868.8236957506388</v>
      </c>
      <c r="Z98" s="66">
        <f t="shared" si="30"/>
        <v>5844.8607634912123</v>
      </c>
      <c r="AA98" s="66">
        <f t="shared" si="30"/>
        <v>5779.6305752340813</v>
      </c>
      <c r="AB98" s="66">
        <f t="shared" si="30"/>
        <v>5733.5991049469221</v>
      </c>
      <c r="AC98" s="66">
        <f t="shared" si="30"/>
        <v>5705.5914796869138</v>
      </c>
      <c r="AD98" s="66">
        <f t="shared" si="30"/>
        <v>5691.319843522323</v>
      </c>
      <c r="AE98" s="66">
        <f t="shared" si="30"/>
        <v>5694.4530860227605</v>
      </c>
      <c r="AF98" s="66">
        <f t="shared" si="30"/>
        <v>5678.053390009447</v>
      </c>
      <c r="AG98" s="66">
        <f t="shared" si="30"/>
        <v>5678.562978531073</v>
      </c>
      <c r="AH98" s="66">
        <f t="shared" si="30"/>
        <v>5660.1722377603874</v>
      </c>
      <c r="AI98" s="66">
        <f t="shared" si="30"/>
        <v>5658.2088982848481</v>
      </c>
      <c r="AJ98" s="66">
        <f t="shared" si="30"/>
        <v>0</v>
      </c>
      <c r="AK98" s="66">
        <f t="shared" si="30"/>
        <v>0</v>
      </c>
      <c r="AL98" s="66">
        <f t="shared" si="30"/>
        <v>0</v>
      </c>
      <c r="AM98" s="66">
        <f t="shared" si="30"/>
        <v>0</v>
      </c>
      <c r="AN98" s="66">
        <f t="shared" si="30"/>
        <v>0</v>
      </c>
      <c r="AO98" s="66">
        <f t="shared" si="30"/>
        <v>0</v>
      </c>
      <c r="AP98" s="66">
        <f t="shared" si="30"/>
        <v>0</v>
      </c>
      <c r="AQ98" s="66">
        <f t="shared" si="30"/>
        <v>0</v>
      </c>
      <c r="AR98" s="66">
        <f t="shared" si="30"/>
        <v>0</v>
      </c>
      <c r="AS98" s="66">
        <f t="shared" si="30"/>
        <v>0</v>
      </c>
      <c r="AT98" s="66">
        <f t="shared" si="30"/>
        <v>0</v>
      </c>
      <c r="AU98" s="66">
        <f t="shared" si="30"/>
        <v>0</v>
      </c>
      <c r="AV98" s="66">
        <f t="shared" si="30"/>
        <v>0</v>
      </c>
      <c r="AW98" s="66">
        <f t="shared" si="30"/>
        <v>0</v>
      </c>
      <c r="AX98" s="66">
        <f t="shared" si="30"/>
        <v>0</v>
      </c>
      <c r="AY98" s="66">
        <f t="shared" si="30"/>
        <v>0</v>
      </c>
      <c r="AZ98" s="66">
        <f t="shared" si="30"/>
        <v>0</v>
      </c>
      <c r="BA98" s="66">
        <f t="shared" si="30"/>
        <v>0</v>
      </c>
      <c r="BB98" s="66">
        <f t="shared" si="30"/>
        <v>0</v>
      </c>
    </row>
    <row r="99" spans="1:54">
      <c r="G99" s="19"/>
      <c r="H99" s="71"/>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row>
    <row r="100" spans="1:54">
      <c r="H100" s="71"/>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row>
    <row r="101" spans="1:54" s="79" customFormat="1">
      <c r="A101" s="77"/>
      <c r="B101" s="78"/>
      <c r="C101" s="77" t="s">
        <v>47</v>
      </c>
      <c r="E101" s="82"/>
      <c r="F101" s="80"/>
      <c r="G101" s="80"/>
      <c r="H101" s="83"/>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row>
    <row r="102" spans="1:54">
      <c r="G102" s="19"/>
      <c r="H102" s="84"/>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row>
    <row r="103" spans="1:54">
      <c r="F103" s="147" t="s">
        <v>41</v>
      </c>
      <c r="G103" s="147" t="s">
        <v>65</v>
      </c>
    </row>
    <row r="104" spans="1:54">
      <c r="E104" t="s">
        <v>226</v>
      </c>
      <c r="F104" s="19" t="s">
        <v>46</v>
      </c>
      <c r="G104" s="207">
        <f>'Capital Costs'!H6</f>
        <v>6008817.3913043486</v>
      </c>
      <c r="H104" s="6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row>
    <row r="105" spans="1:54">
      <c r="E105" t="s">
        <v>227</v>
      </c>
      <c r="F105" s="19" t="s">
        <v>68</v>
      </c>
      <c r="G105" s="265">
        <f>F9+F10-1</f>
        <v>2046</v>
      </c>
      <c r="H105" s="6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row>
    <row r="106" spans="1:54">
      <c r="G106" s="19"/>
      <c r="H106" s="6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row>
    <row r="107" spans="1:54">
      <c r="D107" s="12"/>
    </row>
    <row r="108" spans="1:54">
      <c r="E108" t="s">
        <v>228</v>
      </c>
      <c r="G108" s="19" t="s">
        <v>46</v>
      </c>
      <c r="H108" s="62">
        <f>SUM(I108:BB108)</f>
        <v>6008817.3913043486</v>
      </c>
      <c r="I108" s="72">
        <f t="shared" ref="I108:BB108" si="31">IF(I2=$G$105,$G$104,0)</f>
        <v>0</v>
      </c>
      <c r="J108" s="72">
        <f t="shared" si="31"/>
        <v>0</v>
      </c>
      <c r="K108" s="72">
        <f t="shared" si="31"/>
        <v>0</v>
      </c>
      <c r="L108" s="72">
        <f t="shared" si="31"/>
        <v>0</v>
      </c>
      <c r="M108" s="72">
        <f t="shared" si="31"/>
        <v>0</v>
      </c>
      <c r="N108" s="72">
        <f t="shared" si="31"/>
        <v>0</v>
      </c>
      <c r="O108" s="72">
        <f t="shared" si="31"/>
        <v>0</v>
      </c>
      <c r="P108" s="72">
        <f t="shared" si="31"/>
        <v>0</v>
      </c>
      <c r="Q108" s="72">
        <f t="shared" si="31"/>
        <v>0</v>
      </c>
      <c r="R108" s="72">
        <f t="shared" si="31"/>
        <v>0</v>
      </c>
      <c r="S108" s="72">
        <f t="shared" si="31"/>
        <v>0</v>
      </c>
      <c r="T108" s="72">
        <f t="shared" si="31"/>
        <v>0</v>
      </c>
      <c r="U108" s="72">
        <f t="shared" si="31"/>
        <v>0</v>
      </c>
      <c r="V108" s="72">
        <f t="shared" si="31"/>
        <v>0</v>
      </c>
      <c r="W108" s="72">
        <f t="shared" si="31"/>
        <v>0</v>
      </c>
      <c r="X108" s="72">
        <f t="shared" si="31"/>
        <v>0</v>
      </c>
      <c r="Y108" s="72">
        <f t="shared" si="31"/>
        <v>0</v>
      </c>
      <c r="Z108" s="72">
        <f t="shared" si="31"/>
        <v>0</v>
      </c>
      <c r="AA108" s="72">
        <f t="shared" si="31"/>
        <v>0</v>
      </c>
      <c r="AB108" s="72">
        <f t="shared" si="31"/>
        <v>0</v>
      </c>
      <c r="AC108" s="72">
        <f t="shared" si="31"/>
        <v>0</v>
      </c>
      <c r="AD108" s="72">
        <f t="shared" si="31"/>
        <v>0</v>
      </c>
      <c r="AE108" s="72">
        <f t="shared" si="31"/>
        <v>0</v>
      </c>
      <c r="AF108" s="72">
        <f t="shared" si="31"/>
        <v>0</v>
      </c>
      <c r="AG108" s="72">
        <f t="shared" si="31"/>
        <v>0</v>
      </c>
      <c r="AH108" s="72">
        <f t="shared" si="31"/>
        <v>0</v>
      </c>
      <c r="AI108" s="72">
        <f t="shared" si="31"/>
        <v>6008817.3913043486</v>
      </c>
      <c r="AJ108" s="72">
        <f t="shared" si="31"/>
        <v>0</v>
      </c>
      <c r="AK108" s="72">
        <f t="shared" si="31"/>
        <v>0</v>
      </c>
      <c r="AL108" s="72">
        <f t="shared" si="31"/>
        <v>0</v>
      </c>
      <c r="AM108" s="72">
        <f t="shared" si="31"/>
        <v>0</v>
      </c>
      <c r="AN108" s="72">
        <f t="shared" si="31"/>
        <v>0</v>
      </c>
      <c r="AO108" s="72">
        <f t="shared" si="31"/>
        <v>0</v>
      </c>
      <c r="AP108" s="72">
        <f t="shared" si="31"/>
        <v>0</v>
      </c>
      <c r="AQ108" s="72">
        <f t="shared" si="31"/>
        <v>0</v>
      </c>
      <c r="AR108" s="72">
        <f t="shared" si="31"/>
        <v>0</v>
      </c>
      <c r="AS108" s="72">
        <f t="shared" si="31"/>
        <v>0</v>
      </c>
      <c r="AT108" s="72">
        <f t="shared" si="31"/>
        <v>0</v>
      </c>
      <c r="AU108" s="72">
        <f t="shared" si="31"/>
        <v>0</v>
      </c>
      <c r="AV108" s="72">
        <f t="shared" si="31"/>
        <v>0</v>
      </c>
      <c r="AW108" s="72">
        <f t="shared" si="31"/>
        <v>0</v>
      </c>
      <c r="AX108" s="72">
        <f t="shared" si="31"/>
        <v>0</v>
      </c>
      <c r="AY108" s="72">
        <f t="shared" si="31"/>
        <v>0</v>
      </c>
      <c r="AZ108" s="72">
        <f t="shared" si="31"/>
        <v>0</v>
      </c>
      <c r="BA108" s="72">
        <f t="shared" si="31"/>
        <v>0</v>
      </c>
      <c r="BB108" s="72">
        <f t="shared" si="31"/>
        <v>0</v>
      </c>
    </row>
    <row r="109" spans="1:54">
      <c r="E109" t="s">
        <v>229</v>
      </c>
      <c r="G109" s="19" t="s">
        <v>46</v>
      </c>
      <c r="H109" s="62">
        <f>SUM(I109:BB109)</f>
        <v>2887892.6083230437</v>
      </c>
      <c r="I109" s="72">
        <f>I108*I$4</f>
        <v>0</v>
      </c>
      <c r="J109" s="72">
        <f t="shared" ref="J109:BB109" si="32">J108*J$4</f>
        <v>0</v>
      </c>
      <c r="K109" s="72">
        <f t="shared" si="32"/>
        <v>0</v>
      </c>
      <c r="L109" s="72">
        <f t="shared" si="32"/>
        <v>0</v>
      </c>
      <c r="M109" s="72">
        <f t="shared" si="32"/>
        <v>0</v>
      </c>
      <c r="N109" s="72">
        <f t="shared" si="32"/>
        <v>0</v>
      </c>
      <c r="O109" s="72">
        <f t="shared" si="32"/>
        <v>0</v>
      </c>
      <c r="P109" s="72">
        <f t="shared" si="32"/>
        <v>0</v>
      </c>
      <c r="Q109" s="72">
        <f t="shared" si="32"/>
        <v>0</v>
      </c>
      <c r="R109" s="72">
        <f t="shared" si="32"/>
        <v>0</v>
      </c>
      <c r="S109" s="72">
        <f t="shared" si="32"/>
        <v>0</v>
      </c>
      <c r="T109" s="72">
        <f t="shared" si="32"/>
        <v>0</v>
      </c>
      <c r="U109" s="72">
        <f t="shared" si="32"/>
        <v>0</v>
      </c>
      <c r="V109" s="72">
        <f t="shared" si="32"/>
        <v>0</v>
      </c>
      <c r="W109" s="72">
        <f t="shared" si="32"/>
        <v>0</v>
      </c>
      <c r="X109" s="72">
        <f t="shared" si="32"/>
        <v>0</v>
      </c>
      <c r="Y109" s="72">
        <f t="shared" si="32"/>
        <v>0</v>
      </c>
      <c r="Z109" s="72">
        <f t="shared" si="32"/>
        <v>0</v>
      </c>
      <c r="AA109" s="72">
        <f t="shared" si="32"/>
        <v>0</v>
      </c>
      <c r="AB109" s="72">
        <f t="shared" si="32"/>
        <v>0</v>
      </c>
      <c r="AC109" s="72">
        <f t="shared" si="32"/>
        <v>0</v>
      </c>
      <c r="AD109" s="72">
        <f t="shared" si="32"/>
        <v>0</v>
      </c>
      <c r="AE109" s="72">
        <f t="shared" si="32"/>
        <v>0</v>
      </c>
      <c r="AF109" s="72">
        <f t="shared" si="32"/>
        <v>0</v>
      </c>
      <c r="AG109" s="72">
        <f t="shared" si="32"/>
        <v>0</v>
      </c>
      <c r="AH109" s="72">
        <f t="shared" si="32"/>
        <v>0</v>
      </c>
      <c r="AI109" s="72">
        <f t="shared" si="32"/>
        <v>2887892.6083230437</v>
      </c>
      <c r="AJ109" s="72">
        <f t="shared" si="32"/>
        <v>0</v>
      </c>
      <c r="AK109" s="72">
        <f t="shared" si="32"/>
        <v>0</v>
      </c>
      <c r="AL109" s="72">
        <f t="shared" si="32"/>
        <v>0</v>
      </c>
      <c r="AM109" s="72">
        <f t="shared" si="32"/>
        <v>0</v>
      </c>
      <c r="AN109" s="72">
        <f t="shared" si="32"/>
        <v>0</v>
      </c>
      <c r="AO109" s="72">
        <f t="shared" si="32"/>
        <v>0</v>
      </c>
      <c r="AP109" s="72">
        <f t="shared" si="32"/>
        <v>0</v>
      </c>
      <c r="AQ109" s="72">
        <f t="shared" si="32"/>
        <v>0</v>
      </c>
      <c r="AR109" s="72">
        <f t="shared" si="32"/>
        <v>0</v>
      </c>
      <c r="AS109" s="72">
        <f t="shared" si="32"/>
        <v>0</v>
      </c>
      <c r="AT109" s="72">
        <f t="shared" si="32"/>
        <v>0</v>
      </c>
      <c r="AU109" s="72">
        <f t="shared" si="32"/>
        <v>0</v>
      </c>
      <c r="AV109" s="72">
        <f t="shared" si="32"/>
        <v>0</v>
      </c>
      <c r="AW109" s="72">
        <f t="shared" si="32"/>
        <v>0</v>
      </c>
      <c r="AX109" s="72">
        <f t="shared" si="32"/>
        <v>0</v>
      </c>
      <c r="AY109" s="72">
        <f t="shared" si="32"/>
        <v>0</v>
      </c>
      <c r="AZ109" s="72">
        <f t="shared" si="32"/>
        <v>0</v>
      </c>
      <c r="BA109" s="72">
        <f t="shared" si="32"/>
        <v>0</v>
      </c>
      <c r="BB109" s="72">
        <f t="shared" si="32"/>
        <v>0</v>
      </c>
    </row>
    <row r="111" spans="1:54" s="79" customFormat="1">
      <c r="A111" s="77"/>
      <c r="B111" s="78"/>
      <c r="C111" s="77" t="s">
        <v>48</v>
      </c>
      <c r="E111" s="82"/>
      <c r="F111" s="80"/>
      <c r="G111" s="80"/>
      <c r="H111" s="83"/>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row>
    <row r="112" spans="1:54">
      <c r="G112" s="19"/>
      <c r="H112" s="6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row>
    <row r="113" spans="1:54">
      <c r="F113" s="147" t="s">
        <v>41</v>
      </c>
      <c r="G113" s="147" t="s">
        <v>65</v>
      </c>
    </row>
    <row r="114" spans="1:54">
      <c r="E114" t="s">
        <v>230</v>
      </c>
      <c r="F114" s="19" t="s">
        <v>46</v>
      </c>
      <c r="G114" s="207">
        <f>'Repurposed ROW'!G9</f>
        <v>8732647.3171723038</v>
      </c>
    </row>
    <row r="115" spans="1:54">
      <c r="E115" t="s">
        <v>231</v>
      </c>
      <c r="F115" s="19" t="s">
        <v>68</v>
      </c>
      <c r="G115" s="97">
        <f>'Repurposed ROW'!G7</f>
        <v>2027</v>
      </c>
    </row>
    <row r="117" spans="1:54">
      <c r="E117" t="s">
        <v>232</v>
      </c>
      <c r="G117" s="19" t="s">
        <v>46</v>
      </c>
      <c r="H117" s="62">
        <f>SUM(I117:BB117)</f>
        <v>8732647.3171723038</v>
      </c>
      <c r="I117" s="72">
        <f t="shared" ref="I117:BB117" si="33">IF(I$2=$G$115,$G$114,0)</f>
        <v>0</v>
      </c>
      <c r="J117" s="72">
        <f t="shared" si="33"/>
        <v>0</v>
      </c>
      <c r="K117" s="72">
        <f t="shared" si="33"/>
        <v>0</v>
      </c>
      <c r="L117" s="72">
        <f t="shared" si="33"/>
        <v>0</v>
      </c>
      <c r="M117" s="72">
        <f t="shared" si="33"/>
        <v>0</v>
      </c>
      <c r="N117" s="72">
        <f t="shared" si="33"/>
        <v>0</v>
      </c>
      <c r="O117" s="72">
        <f t="shared" si="33"/>
        <v>0</v>
      </c>
      <c r="P117" s="72">
        <f t="shared" si="33"/>
        <v>8732647.3171723038</v>
      </c>
      <c r="Q117" s="72">
        <f t="shared" si="33"/>
        <v>0</v>
      </c>
      <c r="R117" s="72">
        <f t="shared" si="33"/>
        <v>0</v>
      </c>
      <c r="S117" s="72">
        <f t="shared" si="33"/>
        <v>0</v>
      </c>
      <c r="T117" s="72">
        <f t="shared" si="33"/>
        <v>0</v>
      </c>
      <c r="U117" s="72">
        <f t="shared" si="33"/>
        <v>0</v>
      </c>
      <c r="V117" s="72">
        <f t="shared" si="33"/>
        <v>0</v>
      </c>
      <c r="W117" s="72">
        <f t="shared" si="33"/>
        <v>0</v>
      </c>
      <c r="X117" s="72">
        <f t="shared" si="33"/>
        <v>0</v>
      </c>
      <c r="Y117" s="72">
        <f t="shared" si="33"/>
        <v>0</v>
      </c>
      <c r="Z117" s="72">
        <f t="shared" si="33"/>
        <v>0</v>
      </c>
      <c r="AA117" s="72">
        <f t="shared" si="33"/>
        <v>0</v>
      </c>
      <c r="AB117" s="72">
        <f t="shared" si="33"/>
        <v>0</v>
      </c>
      <c r="AC117" s="72">
        <f t="shared" si="33"/>
        <v>0</v>
      </c>
      <c r="AD117" s="72">
        <f t="shared" si="33"/>
        <v>0</v>
      </c>
      <c r="AE117" s="72">
        <f t="shared" si="33"/>
        <v>0</v>
      </c>
      <c r="AF117" s="72">
        <f t="shared" si="33"/>
        <v>0</v>
      </c>
      <c r="AG117" s="72">
        <f t="shared" si="33"/>
        <v>0</v>
      </c>
      <c r="AH117" s="72">
        <f t="shared" si="33"/>
        <v>0</v>
      </c>
      <c r="AI117" s="72">
        <f t="shared" si="33"/>
        <v>0</v>
      </c>
      <c r="AJ117" s="72">
        <f t="shared" si="33"/>
        <v>0</v>
      </c>
      <c r="AK117" s="72">
        <f t="shared" si="33"/>
        <v>0</v>
      </c>
      <c r="AL117" s="72">
        <f t="shared" si="33"/>
        <v>0</v>
      </c>
      <c r="AM117" s="72">
        <f t="shared" si="33"/>
        <v>0</v>
      </c>
      <c r="AN117" s="72">
        <f t="shared" si="33"/>
        <v>0</v>
      </c>
      <c r="AO117" s="72">
        <f t="shared" si="33"/>
        <v>0</v>
      </c>
      <c r="AP117" s="72">
        <f t="shared" si="33"/>
        <v>0</v>
      </c>
      <c r="AQ117" s="72">
        <f t="shared" si="33"/>
        <v>0</v>
      </c>
      <c r="AR117" s="72">
        <f t="shared" si="33"/>
        <v>0</v>
      </c>
      <c r="AS117" s="72">
        <f t="shared" si="33"/>
        <v>0</v>
      </c>
      <c r="AT117" s="72">
        <f t="shared" si="33"/>
        <v>0</v>
      </c>
      <c r="AU117" s="72">
        <f t="shared" si="33"/>
        <v>0</v>
      </c>
      <c r="AV117" s="72">
        <f t="shared" si="33"/>
        <v>0</v>
      </c>
      <c r="AW117" s="72">
        <f t="shared" si="33"/>
        <v>0</v>
      </c>
      <c r="AX117" s="72">
        <f t="shared" si="33"/>
        <v>0</v>
      </c>
      <c r="AY117" s="72">
        <f t="shared" si="33"/>
        <v>0</v>
      </c>
      <c r="AZ117" s="72">
        <f t="shared" si="33"/>
        <v>0</v>
      </c>
      <c r="BA117" s="72">
        <f t="shared" si="33"/>
        <v>0</v>
      </c>
      <c r="BB117" s="72">
        <f t="shared" si="33"/>
        <v>0</v>
      </c>
    </row>
    <row r="118" spans="1:54">
      <c r="E118" t="s">
        <v>233</v>
      </c>
      <c r="G118" s="19" t="s">
        <v>46</v>
      </c>
      <c r="H118" s="62">
        <f>SUM(I118:BB118)</f>
        <v>7496397.2792967455</v>
      </c>
      <c r="I118" s="72">
        <f>I117*I$4</f>
        <v>0</v>
      </c>
      <c r="J118" s="72">
        <f t="shared" ref="J118:BB118" si="34">J117*J$4</f>
        <v>0</v>
      </c>
      <c r="K118" s="72">
        <f t="shared" si="34"/>
        <v>0</v>
      </c>
      <c r="L118" s="72">
        <f t="shared" si="34"/>
        <v>0</v>
      </c>
      <c r="M118" s="72">
        <f t="shared" si="34"/>
        <v>0</v>
      </c>
      <c r="N118" s="72">
        <f t="shared" si="34"/>
        <v>0</v>
      </c>
      <c r="O118" s="72">
        <f t="shared" si="34"/>
        <v>0</v>
      </c>
      <c r="P118" s="72">
        <f t="shared" si="34"/>
        <v>7496397.2792967455</v>
      </c>
      <c r="Q118" s="72">
        <f t="shared" si="34"/>
        <v>0</v>
      </c>
      <c r="R118" s="72">
        <f t="shared" si="34"/>
        <v>0</v>
      </c>
      <c r="S118" s="72">
        <f t="shared" si="34"/>
        <v>0</v>
      </c>
      <c r="T118" s="72">
        <f t="shared" si="34"/>
        <v>0</v>
      </c>
      <c r="U118" s="72">
        <f t="shared" si="34"/>
        <v>0</v>
      </c>
      <c r="V118" s="72">
        <f t="shared" si="34"/>
        <v>0</v>
      </c>
      <c r="W118" s="72">
        <f t="shared" si="34"/>
        <v>0</v>
      </c>
      <c r="X118" s="72">
        <f t="shared" si="34"/>
        <v>0</v>
      </c>
      <c r="Y118" s="72">
        <f t="shared" si="34"/>
        <v>0</v>
      </c>
      <c r="Z118" s="72">
        <f t="shared" si="34"/>
        <v>0</v>
      </c>
      <c r="AA118" s="72">
        <f t="shared" si="34"/>
        <v>0</v>
      </c>
      <c r="AB118" s="72">
        <f t="shared" si="34"/>
        <v>0</v>
      </c>
      <c r="AC118" s="72">
        <f t="shared" si="34"/>
        <v>0</v>
      </c>
      <c r="AD118" s="72">
        <f t="shared" si="34"/>
        <v>0</v>
      </c>
      <c r="AE118" s="72">
        <f t="shared" si="34"/>
        <v>0</v>
      </c>
      <c r="AF118" s="72">
        <f t="shared" si="34"/>
        <v>0</v>
      </c>
      <c r="AG118" s="72">
        <f t="shared" si="34"/>
        <v>0</v>
      </c>
      <c r="AH118" s="72">
        <f t="shared" si="34"/>
        <v>0</v>
      </c>
      <c r="AI118" s="72">
        <f t="shared" si="34"/>
        <v>0</v>
      </c>
      <c r="AJ118" s="72">
        <f t="shared" si="34"/>
        <v>0</v>
      </c>
      <c r="AK118" s="72">
        <f t="shared" si="34"/>
        <v>0</v>
      </c>
      <c r="AL118" s="72">
        <f t="shared" si="34"/>
        <v>0</v>
      </c>
      <c r="AM118" s="72">
        <f t="shared" si="34"/>
        <v>0</v>
      </c>
      <c r="AN118" s="72">
        <f t="shared" si="34"/>
        <v>0</v>
      </c>
      <c r="AO118" s="72">
        <f t="shared" si="34"/>
        <v>0</v>
      </c>
      <c r="AP118" s="72">
        <f t="shared" si="34"/>
        <v>0</v>
      </c>
      <c r="AQ118" s="72">
        <f t="shared" si="34"/>
        <v>0</v>
      </c>
      <c r="AR118" s="72">
        <f t="shared" si="34"/>
        <v>0</v>
      </c>
      <c r="AS118" s="72">
        <f t="shared" si="34"/>
        <v>0</v>
      </c>
      <c r="AT118" s="72">
        <f t="shared" si="34"/>
        <v>0</v>
      </c>
      <c r="AU118" s="72">
        <f t="shared" si="34"/>
        <v>0</v>
      </c>
      <c r="AV118" s="72">
        <f t="shared" si="34"/>
        <v>0</v>
      </c>
      <c r="AW118" s="72">
        <f t="shared" si="34"/>
        <v>0</v>
      </c>
      <c r="AX118" s="72">
        <f t="shared" si="34"/>
        <v>0</v>
      </c>
      <c r="AY118" s="72">
        <f t="shared" si="34"/>
        <v>0</v>
      </c>
      <c r="AZ118" s="72">
        <f t="shared" si="34"/>
        <v>0</v>
      </c>
      <c r="BA118" s="72">
        <f t="shared" si="34"/>
        <v>0</v>
      </c>
      <c r="BB118" s="72">
        <f t="shared" si="34"/>
        <v>0</v>
      </c>
    </row>
    <row r="120" spans="1:54" s="79" customFormat="1">
      <c r="A120" s="77"/>
      <c r="B120" s="78"/>
      <c r="C120" s="77" t="s">
        <v>49</v>
      </c>
      <c r="E120" s="82"/>
      <c r="F120" s="80"/>
      <c r="G120" s="80"/>
      <c r="H120" s="83"/>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row>
    <row r="122" spans="1:54">
      <c r="F122" s="147" t="s">
        <v>41</v>
      </c>
      <c r="G122" s="147" t="s">
        <v>65</v>
      </c>
    </row>
    <row r="123" spans="1:54" ht="30">
      <c r="E123" s="54" t="s">
        <v>223</v>
      </c>
      <c r="F123" s="52" t="s">
        <v>224</v>
      </c>
      <c r="G123" s="178">
        <f>'Project Assumptions'!$G$34</f>
        <v>0.11</v>
      </c>
    </row>
    <row r="124" spans="1:54">
      <c r="E124" t="s">
        <v>112</v>
      </c>
      <c r="F124" s="19" t="s">
        <v>81</v>
      </c>
      <c r="G124" s="260">
        <f>'Project Assumptions'!G36</f>
        <v>5</v>
      </c>
    </row>
    <row r="125" spans="1:54">
      <c r="E125" t="s">
        <v>111</v>
      </c>
      <c r="F125" s="19" t="s">
        <v>80</v>
      </c>
      <c r="G125" s="261">
        <f>'Project Assumptions'!G35</f>
        <v>0.2</v>
      </c>
    </row>
    <row r="126" spans="1:54">
      <c r="E126" t="s">
        <v>110</v>
      </c>
      <c r="F126" s="19" t="s">
        <v>75</v>
      </c>
      <c r="G126" s="261">
        <f>'Project Assumptions'!G27</f>
        <v>0.5</v>
      </c>
    </row>
    <row r="127" spans="1:54">
      <c r="G127" s="129"/>
    </row>
    <row r="128" spans="1:54">
      <c r="D128" s="12" t="s">
        <v>234</v>
      </c>
      <c r="G128" s="129"/>
    </row>
    <row r="129" spans="4:54">
      <c r="G129" s="31"/>
    </row>
    <row r="130" spans="4:54">
      <c r="E130" t="s">
        <v>235</v>
      </c>
      <c r="F130" s="19" t="s">
        <v>236</v>
      </c>
      <c r="G130" s="262">
        <f>'Project Assumptions'!G37*'Project Assumptions'!G38</f>
        <v>216.63000000000002</v>
      </c>
      <c r="H130" s="18" t="s">
        <v>237</v>
      </c>
    </row>
    <row r="131" spans="4:54">
      <c r="E131" t="s">
        <v>238</v>
      </c>
      <c r="F131" s="19" t="s">
        <v>236</v>
      </c>
      <c r="G131" s="262">
        <f>'Project Assumptions'!G39</f>
        <v>2</v>
      </c>
      <c r="H131" s="18"/>
    </row>
    <row r="132" spans="4:54">
      <c r="G132" s="129"/>
    </row>
    <row r="133" spans="4:54">
      <c r="D133" s="12"/>
      <c r="F133" s="34">
        <v>2027</v>
      </c>
      <c r="G133" s="34">
        <v>2032</v>
      </c>
    </row>
    <row r="134" spans="4:54">
      <c r="E134" t="s">
        <v>239</v>
      </c>
      <c r="F134" s="263">
        <f>'Project Assumptions'!G30</f>
        <v>0.5</v>
      </c>
      <c r="G134" s="263">
        <f>'Project Assumptions'!G31</f>
        <v>0.92</v>
      </c>
    </row>
    <row r="135" spans="4:54">
      <c r="G135" s="129"/>
    </row>
    <row r="136" spans="4:54">
      <c r="E136" t="s">
        <v>240</v>
      </c>
      <c r="G136" s="34" t="s">
        <v>62</v>
      </c>
      <c r="I136" s="212" cm="1">
        <f t="array" ref="I136">IF(I$2&gt;$G$133,$G$134,TREND($F$134:$G$134,$F$133:$G$133,I$2))*I$3</f>
        <v>0</v>
      </c>
      <c r="J136" s="212" cm="1">
        <f t="array" ref="J136">IF(J$2&gt;$G$133,$G$134,TREND($F$134:$G$134,$F$133:$G$133,J$2))*J$3</f>
        <v>0</v>
      </c>
      <c r="K136" s="212" cm="1">
        <f t="array" ref="K136">IF(K$2&gt;$G$133,$G$134,TREND($F$134:$G$134,$F$133:$G$133,K$2))*K$3</f>
        <v>0</v>
      </c>
      <c r="L136" s="212" cm="1">
        <f t="array" ref="L136">IF(L$2&gt;$G$133,$G$134,TREND($F$134:$G$134,$F$133:$G$133,L$2))*L$3</f>
        <v>0</v>
      </c>
      <c r="M136" s="212" cm="1">
        <f t="array" ref="M136">IF(M$2&gt;$G$133,$G$134,TREND($F$134:$G$134,$F$133:$G$133,M$2))*M$3</f>
        <v>0</v>
      </c>
      <c r="N136" s="212" cm="1">
        <f t="array" ref="N136">IF(N$2&gt;$G$133,$G$134,TREND($F$134:$G$134,$F$133:$G$133,N$2))*N$3</f>
        <v>0</v>
      </c>
      <c r="O136" s="212" cm="1">
        <f t="array" ref="O136">IF(O$2&gt;$G$133,$G$134,TREND($F$134:$G$134,$F$133:$G$133,O$2))*O$3</f>
        <v>0</v>
      </c>
      <c r="P136" s="212" cm="1">
        <f t="array" ref="P136">IF(P$2&gt;$G$133,$G$134,TREND($F$134:$G$134,$F$133:$G$133,P$2))*P$3</f>
        <v>0.375</v>
      </c>
      <c r="Q136" s="212" cm="1">
        <f t="array" ref="Q136">IF(Q$2&gt;$G$133,$G$134,TREND($F$134:$G$134,$F$133:$G$133,Q$2))*Q$3</f>
        <v>0.58400000000000318</v>
      </c>
      <c r="R136" s="212" cm="1">
        <f t="array" ref="R136">IF(R$2&gt;$G$133,$G$134,TREND($F$134:$G$134,$F$133:$G$133,R$2))*R$3</f>
        <v>0.66800000000000637</v>
      </c>
      <c r="S136" s="212" cm="1">
        <f t="array" ref="S136">IF(S$2&gt;$G$133,$G$134,TREND($F$134:$G$134,$F$133:$G$133,S$2))*S$3</f>
        <v>0.75200000000000955</v>
      </c>
      <c r="T136" s="212" cm="1">
        <f t="array" ref="T136">IF(T$2&gt;$G$133,$G$134,TREND($F$134:$G$134,$F$133:$G$133,T$2))*T$3</f>
        <v>0.83600000000001273</v>
      </c>
      <c r="U136" s="212" cm="1">
        <f t="array" ref="U136">IF(U$2&gt;$G$133,$G$134,TREND($F$134:$G$134,$F$133:$G$133,U$2))*U$3</f>
        <v>0.92000000000001592</v>
      </c>
      <c r="V136" s="212" cm="1">
        <f t="array" ref="V136">IF(V$2&gt;$G$133,$G$134,TREND($F$134:$G$134,$F$133:$G$133,V$2))*V$3</f>
        <v>0.92</v>
      </c>
      <c r="W136" s="212" cm="1">
        <f t="array" ref="W136">IF(W$2&gt;$G$133,$G$134,TREND($F$134:$G$134,$F$133:$G$133,W$2))*W$3</f>
        <v>0.92</v>
      </c>
      <c r="X136" s="212" cm="1">
        <f t="array" ref="X136">IF(X$2&gt;$G$133,$G$134,TREND($F$134:$G$134,$F$133:$G$133,X$2))*X$3</f>
        <v>0.92</v>
      </c>
      <c r="Y136" s="212" cm="1">
        <f t="array" ref="Y136">IF(Y$2&gt;$G$133,$G$134,TREND($F$134:$G$134,$F$133:$G$133,Y$2))*Y$3</f>
        <v>0.92</v>
      </c>
      <c r="Z136" s="212" cm="1">
        <f t="array" ref="Z136">IF(Z$2&gt;$G$133,$G$134,TREND($F$134:$G$134,$F$133:$G$133,Z$2))*Z$3</f>
        <v>0.92</v>
      </c>
      <c r="AA136" s="212" cm="1">
        <f t="array" ref="AA136">IF(AA$2&gt;$G$133,$G$134,TREND($F$134:$G$134,$F$133:$G$133,AA$2))*AA$3</f>
        <v>0.92</v>
      </c>
      <c r="AB136" s="212" cm="1">
        <f t="array" ref="AB136">IF(AB$2&gt;$G$133,$G$134,TREND($F$134:$G$134,$F$133:$G$133,AB$2))*AB$3</f>
        <v>0.92</v>
      </c>
      <c r="AC136" s="212" cm="1">
        <f t="array" ref="AC136">IF(AC$2&gt;$G$133,$G$134,TREND($F$134:$G$134,$F$133:$G$133,AC$2))*AC$3</f>
        <v>0.92</v>
      </c>
      <c r="AD136" s="212" cm="1">
        <f t="array" ref="AD136">IF(AD$2&gt;$G$133,$G$134,TREND($F$134:$G$134,$F$133:$G$133,AD$2))*AD$3</f>
        <v>0.92</v>
      </c>
      <c r="AE136" s="212" cm="1">
        <f t="array" ref="AE136">IF(AE$2&gt;$G$133,$G$134,TREND($F$134:$G$134,$F$133:$G$133,AE$2))*AE$3</f>
        <v>0.92</v>
      </c>
      <c r="AF136" s="212" cm="1">
        <f t="array" ref="AF136">IF(AF$2&gt;$G$133,$G$134,TREND($F$134:$G$134,$F$133:$G$133,AF$2))*AF$3</f>
        <v>0.92</v>
      </c>
      <c r="AG136" s="212" cm="1">
        <f t="array" ref="AG136">IF(AG$2&gt;$G$133,$G$134,TREND($F$134:$G$134,$F$133:$G$133,AG$2))*AG$3</f>
        <v>0.92</v>
      </c>
      <c r="AH136" s="212" cm="1">
        <f t="array" ref="AH136">IF(AH$2&gt;$G$133,$G$134,TREND($F$134:$G$134,$F$133:$G$133,AH$2))*AH$3</f>
        <v>0.92</v>
      </c>
      <c r="AI136" s="212" cm="1">
        <f t="array" ref="AI136">IF(AI$2&gt;$G$133,$G$134,TREND($F$134:$G$134,$F$133:$G$133,AI$2))*AI$3</f>
        <v>0.92</v>
      </c>
      <c r="AJ136" s="212" cm="1">
        <f t="array" ref="AJ136">IF(AJ$2&gt;$G$133,$G$134,TREND($F$134:$G$134,$F$133:$G$133,AJ$2))*AJ$3</f>
        <v>0</v>
      </c>
      <c r="AK136" s="212" cm="1">
        <f t="array" ref="AK136">IF(AK$2&gt;$G$133,$G$134,TREND($F$134:$G$134,$F$133:$G$133,AK$2))*AK$3</f>
        <v>0</v>
      </c>
      <c r="AL136" s="212" cm="1">
        <f t="array" ref="AL136">IF(AL$2&gt;$G$133,$G$134,TREND($F$134:$G$134,$F$133:$G$133,AL$2))*AL$3</f>
        <v>0</v>
      </c>
      <c r="AM136" s="212" cm="1">
        <f t="array" ref="AM136">IF(AM$2&gt;$G$133,$G$134,TREND($F$134:$G$134,$F$133:$G$133,AM$2))*AM$3</f>
        <v>0</v>
      </c>
      <c r="AN136" s="212" cm="1">
        <f t="array" ref="AN136">IF(AN$2&gt;$G$133,$G$134,TREND($F$134:$G$134,$F$133:$G$133,AN$2))*AN$3</f>
        <v>0</v>
      </c>
      <c r="AO136" s="212" cm="1">
        <f t="array" ref="AO136">IF(AO$2&gt;$G$133,$G$134,TREND($F$134:$G$134,$F$133:$G$133,AO$2))*AO$3</f>
        <v>0</v>
      </c>
      <c r="AP136" s="212" cm="1">
        <f t="array" ref="AP136">IF(AP$2&gt;$G$133,$G$134,TREND($F$134:$G$134,$F$133:$G$133,AP$2))*AP$3</f>
        <v>0</v>
      </c>
      <c r="AQ136" s="212" cm="1">
        <f t="array" ref="AQ136">IF(AQ$2&gt;$G$133,$G$134,TREND($F$134:$G$134,$F$133:$G$133,AQ$2))*AQ$3</f>
        <v>0</v>
      </c>
      <c r="AR136" s="212" cm="1">
        <f t="array" ref="AR136">IF(AR$2&gt;$G$133,$G$134,TREND($F$134:$G$134,$F$133:$G$133,AR$2))*AR$3</f>
        <v>0</v>
      </c>
      <c r="AS136" s="212" cm="1">
        <f t="array" ref="AS136">IF(AS$2&gt;$G$133,$G$134,TREND($F$134:$G$134,$F$133:$G$133,AS$2))*AS$3</f>
        <v>0</v>
      </c>
      <c r="AT136" s="212" cm="1">
        <f t="array" ref="AT136">IF(AT$2&gt;$G$133,$G$134,TREND($F$134:$G$134,$F$133:$G$133,AT$2))*AT$3</f>
        <v>0</v>
      </c>
      <c r="AU136" s="212" cm="1">
        <f t="array" ref="AU136">IF(AU$2&gt;$G$133,$G$134,TREND($F$134:$G$134,$F$133:$G$133,AU$2))*AU$3</f>
        <v>0</v>
      </c>
      <c r="AV136" s="212" cm="1">
        <f t="array" ref="AV136">IF(AV$2&gt;$G$133,$G$134,TREND($F$134:$G$134,$F$133:$G$133,AV$2))*AV$3</f>
        <v>0</v>
      </c>
      <c r="AW136" s="212" cm="1">
        <f t="array" ref="AW136">IF(AW$2&gt;$G$133,$G$134,TREND($F$134:$G$134,$F$133:$G$133,AW$2))*AW$3</f>
        <v>0</v>
      </c>
      <c r="AX136" s="212" cm="1">
        <f t="array" ref="AX136">IF(AX$2&gt;$G$133,$G$134,TREND($F$134:$G$134,$F$133:$G$133,AX$2))*AX$3</f>
        <v>0</v>
      </c>
      <c r="AY136" s="212" cm="1">
        <f t="array" ref="AY136">IF(AY$2&gt;$G$133,$G$134,TREND($F$134:$G$134,$F$133:$G$133,AY$2))*AY$3</f>
        <v>0</v>
      </c>
      <c r="AZ136" s="212" cm="1">
        <f t="array" ref="AZ136">IF(AZ$2&gt;$G$133,$G$134,TREND($F$134:$G$134,$F$133:$G$133,AZ$2))*AZ$3</f>
        <v>0</v>
      </c>
      <c r="BA136" s="212" cm="1">
        <f t="array" ref="BA136">IF(BA$2&gt;$G$133,$G$134,TREND($F$134:$G$134,$F$133:$G$133,BA$2))*BA$3</f>
        <v>0</v>
      </c>
      <c r="BB136" s="212" cm="1">
        <f t="array" ref="BB136">IF(BB$2&gt;$G$133,$G$134,TREND($F$134:$G$134,$F$133:$G$133,BB$2))*BB$3</f>
        <v>0</v>
      </c>
    </row>
    <row r="137" spans="4:54">
      <c r="E137" t="s">
        <v>241</v>
      </c>
      <c r="G137" s="34" t="s">
        <v>236</v>
      </c>
      <c r="H137" s="84">
        <f>SUM(I137:BB137)</f>
        <v>3685.9594500000094</v>
      </c>
      <c r="I137" s="213">
        <f>I136*$G$130</f>
        <v>0</v>
      </c>
      <c r="J137" s="213">
        <f t="shared" ref="J137:BB137" si="35">J136*$G$130</f>
        <v>0</v>
      </c>
      <c r="K137" s="213">
        <f t="shared" si="35"/>
        <v>0</v>
      </c>
      <c r="L137" s="213">
        <f t="shared" si="35"/>
        <v>0</v>
      </c>
      <c r="M137" s="213">
        <f t="shared" si="35"/>
        <v>0</v>
      </c>
      <c r="N137" s="213">
        <f t="shared" si="35"/>
        <v>0</v>
      </c>
      <c r="O137" s="213">
        <f t="shared" si="35"/>
        <v>0</v>
      </c>
      <c r="P137" s="213">
        <f>P136*$G$130</f>
        <v>81.236250000000013</v>
      </c>
      <c r="Q137" s="213">
        <f t="shared" si="35"/>
        <v>126.5119200000007</v>
      </c>
      <c r="R137" s="213">
        <f t="shared" si="35"/>
        <v>144.7088400000014</v>
      </c>
      <c r="S137" s="213">
        <f t="shared" si="35"/>
        <v>162.90576000000209</v>
      </c>
      <c r="T137" s="213">
        <f t="shared" si="35"/>
        <v>181.10268000000278</v>
      </c>
      <c r="U137" s="213">
        <f t="shared" si="35"/>
        <v>199.29960000000347</v>
      </c>
      <c r="V137" s="213">
        <f t="shared" si="35"/>
        <v>199.29960000000003</v>
      </c>
      <c r="W137" s="213">
        <f t="shared" si="35"/>
        <v>199.29960000000003</v>
      </c>
      <c r="X137" s="213">
        <f t="shared" si="35"/>
        <v>199.29960000000003</v>
      </c>
      <c r="Y137" s="213">
        <f t="shared" si="35"/>
        <v>199.29960000000003</v>
      </c>
      <c r="Z137" s="213">
        <f t="shared" si="35"/>
        <v>199.29960000000003</v>
      </c>
      <c r="AA137" s="213">
        <f t="shared" si="35"/>
        <v>199.29960000000003</v>
      </c>
      <c r="AB137" s="213">
        <f t="shared" si="35"/>
        <v>199.29960000000003</v>
      </c>
      <c r="AC137" s="213">
        <f t="shared" si="35"/>
        <v>199.29960000000003</v>
      </c>
      <c r="AD137" s="213">
        <f t="shared" si="35"/>
        <v>199.29960000000003</v>
      </c>
      <c r="AE137" s="213">
        <f t="shared" si="35"/>
        <v>199.29960000000003</v>
      </c>
      <c r="AF137" s="213">
        <f t="shared" si="35"/>
        <v>199.29960000000003</v>
      </c>
      <c r="AG137" s="213">
        <f t="shared" si="35"/>
        <v>199.29960000000003</v>
      </c>
      <c r="AH137" s="213">
        <f t="shared" si="35"/>
        <v>199.29960000000003</v>
      </c>
      <c r="AI137" s="213">
        <f t="shared" si="35"/>
        <v>199.29960000000003</v>
      </c>
      <c r="AJ137" s="213">
        <f t="shared" si="35"/>
        <v>0</v>
      </c>
      <c r="AK137" s="213">
        <f t="shared" si="35"/>
        <v>0</v>
      </c>
      <c r="AL137" s="213">
        <f t="shared" si="35"/>
        <v>0</v>
      </c>
      <c r="AM137" s="213">
        <f t="shared" si="35"/>
        <v>0</v>
      </c>
      <c r="AN137" s="213">
        <f t="shared" si="35"/>
        <v>0</v>
      </c>
      <c r="AO137" s="213">
        <f t="shared" si="35"/>
        <v>0</v>
      </c>
      <c r="AP137" s="213">
        <f t="shared" si="35"/>
        <v>0</v>
      </c>
      <c r="AQ137" s="213">
        <f t="shared" si="35"/>
        <v>0</v>
      </c>
      <c r="AR137" s="213">
        <f t="shared" si="35"/>
        <v>0</v>
      </c>
      <c r="AS137" s="213">
        <f t="shared" si="35"/>
        <v>0</v>
      </c>
      <c r="AT137" s="213">
        <f t="shared" si="35"/>
        <v>0</v>
      </c>
      <c r="AU137" s="213">
        <f t="shared" si="35"/>
        <v>0</v>
      </c>
      <c r="AV137" s="213">
        <f t="shared" si="35"/>
        <v>0</v>
      </c>
      <c r="AW137" s="213">
        <f t="shared" si="35"/>
        <v>0</v>
      </c>
      <c r="AX137" s="213">
        <f t="shared" si="35"/>
        <v>0</v>
      </c>
      <c r="AY137" s="213">
        <f t="shared" si="35"/>
        <v>0</v>
      </c>
      <c r="AZ137" s="213">
        <f t="shared" si="35"/>
        <v>0</v>
      </c>
      <c r="BA137" s="213">
        <f t="shared" si="35"/>
        <v>0</v>
      </c>
      <c r="BB137" s="213">
        <f t="shared" si="35"/>
        <v>0</v>
      </c>
    </row>
    <row r="138" spans="4:54">
      <c r="E138" t="s">
        <v>242</v>
      </c>
      <c r="G138" s="34" t="s">
        <v>236</v>
      </c>
      <c r="H138" s="84">
        <f>SUM(I138:BB138)</f>
        <v>2653890.8040000075</v>
      </c>
      <c r="I138" s="213">
        <f t="shared" ref="I138:BB138" si="36">I137*annual_factor*$G$131</f>
        <v>0</v>
      </c>
      <c r="J138" s="213">
        <f t="shared" si="36"/>
        <v>0</v>
      </c>
      <c r="K138" s="213">
        <f t="shared" si="36"/>
        <v>0</v>
      </c>
      <c r="L138" s="213">
        <f t="shared" si="36"/>
        <v>0</v>
      </c>
      <c r="M138" s="213">
        <f t="shared" si="36"/>
        <v>0</v>
      </c>
      <c r="N138" s="213">
        <f t="shared" si="36"/>
        <v>0</v>
      </c>
      <c r="O138" s="213">
        <f t="shared" si="36"/>
        <v>0</v>
      </c>
      <c r="P138" s="213">
        <f>P137*annual_factor*$G$131</f>
        <v>58490.100000000006</v>
      </c>
      <c r="Q138" s="213">
        <f t="shared" si="36"/>
        <v>91088.582400000509</v>
      </c>
      <c r="R138" s="213">
        <f t="shared" si="36"/>
        <v>104190.36480000101</v>
      </c>
      <c r="S138" s="213">
        <f t="shared" si="36"/>
        <v>117292.14720000151</v>
      </c>
      <c r="T138" s="213">
        <f t="shared" si="36"/>
        <v>130393.929600002</v>
      </c>
      <c r="U138" s="213">
        <f t="shared" si="36"/>
        <v>143495.7120000025</v>
      </c>
      <c r="V138" s="213">
        <f t="shared" si="36"/>
        <v>143495.71200000003</v>
      </c>
      <c r="W138" s="213">
        <f t="shared" si="36"/>
        <v>143495.71200000003</v>
      </c>
      <c r="X138" s="213">
        <f t="shared" si="36"/>
        <v>143495.71200000003</v>
      </c>
      <c r="Y138" s="213">
        <f t="shared" si="36"/>
        <v>143495.71200000003</v>
      </c>
      <c r="Z138" s="213">
        <f t="shared" si="36"/>
        <v>143495.71200000003</v>
      </c>
      <c r="AA138" s="213">
        <f t="shared" si="36"/>
        <v>143495.71200000003</v>
      </c>
      <c r="AB138" s="213">
        <f t="shared" si="36"/>
        <v>143495.71200000003</v>
      </c>
      <c r="AC138" s="213">
        <f t="shared" si="36"/>
        <v>143495.71200000003</v>
      </c>
      <c r="AD138" s="213">
        <f t="shared" si="36"/>
        <v>143495.71200000003</v>
      </c>
      <c r="AE138" s="213">
        <f t="shared" si="36"/>
        <v>143495.71200000003</v>
      </c>
      <c r="AF138" s="213">
        <f t="shared" si="36"/>
        <v>143495.71200000003</v>
      </c>
      <c r="AG138" s="213">
        <f t="shared" si="36"/>
        <v>143495.71200000003</v>
      </c>
      <c r="AH138" s="213">
        <f t="shared" si="36"/>
        <v>143495.71200000003</v>
      </c>
      <c r="AI138" s="213">
        <f t="shared" si="36"/>
        <v>143495.71200000003</v>
      </c>
      <c r="AJ138" s="213">
        <f t="shared" si="36"/>
        <v>0</v>
      </c>
      <c r="AK138" s="213">
        <f t="shared" si="36"/>
        <v>0</v>
      </c>
      <c r="AL138" s="213">
        <f t="shared" si="36"/>
        <v>0</v>
      </c>
      <c r="AM138" s="213">
        <f t="shared" si="36"/>
        <v>0</v>
      </c>
      <c r="AN138" s="213">
        <f t="shared" si="36"/>
        <v>0</v>
      </c>
      <c r="AO138" s="213">
        <f t="shared" si="36"/>
        <v>0</v>
      </c>
      <c r="AP138" s="213">
        <f t="shared" si="36"/>
        <v>0</v>
      </c>
      <c r="AQ138" s="213">
        <f t="shared" si="36"/>
        <v>0</v>
      </c>
      <c r="AR138" s="213">
        <f t="shared" si="36"/>
        <v>0</v>
      </c>
      <c r="AS138" s="213">
        <f t="shared" si="36"/>
        <v>0</v>
      </c>
      <c r="AT138" s="213">
        <f t="shared" si="36"/>
        <v>0</v>
      </c>
      <c r="AU138" s="213">
        <f t="shared" si="36"/>
        <v>0</v>
      </c>
      <c r="AV138" s="213">
        <f t="shared" si="36"/>
        <v>0</v>
      </c>
      <c r="AW138" s="213">
        <f t="shared" si="36"/>
        <v>0</v>
      </c>
      <c r="AX138" s="213">
        <f t="shared" si="36"/>
        <v>0</v>
      </c>
      <c r="AY138" s="213">
        <f t="shared" si="36"/>
        <v>0</v>
      </c>
      <c r="AZ138" s="213">
        <f t="shared" si="36"/>
        <v>0</v>
      </c>
      <c r="BA138" s="213">
        <f t="shared" si="36"/>
        <v>0</v>
      </c>
      <c r="BB138" s="213">
        <f t="shared" si="36"/>
        <v>0</v>
      </c>
    </row>
    <row r="139" spans="4:54" s="216" customFormat="1">
      <c r="F139" s="217"/>
      <c r="G139" s="218"/>
      <c r="H139" s="219"/>
      <c r="I139" s="219"/>
      <c r="J139" s="219"/>
      <c r="K139" s="219"/>
      <c r="L139" s="219"/>
      <c r="M139" s="219"/>
      <c r="N139" s="219"/>
      <c r="O139" s="219"/>
      <c r="P139" s="219"/>
      <c r="Q139" s="219"/>
      <c r="R139" s="219"/>
    </row>
    <row r="140" spans="4:54">
      <c r="G140" s="220"/>
      <c r="H140" s="84"/>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row>
    <row r="141" spans="4:54">
      <c r="D141" s="12" t="s">
        <v>243</v>
      </c>
      <c r="G141" s="129"/>
      <c r="H141" s="84"/>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row>
    <row r="142" spans="4:54">
      <c r="G142" s="31"/>
      <c r="H142" s="84"/>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row>
    <row r="143" spans="4:54">
      <c r="E143" t="s">
        <v>244</v>
      </c>
      <c r="F143" s="19" t="s">
        <v>236</v>
      </c>
      <c r="G143" s="261">
        <f>'Project Assumptions'!G40*'Project Assumptions'!G41</f>
        <v>400</v>
      </c>
      <c r="H143" s="84"/>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row>
    <row r="144" spans="4:54">
      <c r="E144" t="s">
        <v>238</v>
      </c>
      <c r="F144" s="19" t="s">
        <v>236</v>
      </c>
      <c r="G144" s="260">
        <f>'Project Assumptions'!G39</f>
        <v>2</v>
      </c>
      <c r="H144" s="84"/>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row>
    <row r="145" spans="1:54">
      <c r="G145" s="142"/>
      <c r="H145" s="84"/>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row>
    <row r="146" spans="1:54">
      <c r="D146" s="12"/>
      <c r="E146" t="s">
        <v>38</v>
      </c>
      <c r="F146" s="34">
        <v>2027</v>
      </c>
      <c r="G146" s="34">
        <v>2032</v>
      </c>
    </row>
    <row r="147" spans="1:54">
      <c r="E147" t="s">
        <v>245</v>
      </c>
      <c r="F147" s="263">
        <f>'Project Assumptions'!G32</f>
        <v>0.44</v>
      </c>
      <c r="G147" s="263">
        <f>'Project Assumptions'!G33</f>
        <v>0.78</v>
      </c>
    </row>
    <row r="148" spans="1:54">
      <c r="F148" s="215"/>
      <c r="G148" s="215"/>
    </row>
    <row r="149" spans="1:54">
      <c r="E149" t="s">
        <v>240</v>
      </c>
      <c r="G149" s="34" t="s">
        <v>62</v>
      </c>
      <c r="I149" s="212" cm="1">
        <f t="array" ref="I149">IF(I$2&gt;$G$146,$G$147,TREND($F147:$G147,$F146:$G146,I$2))*I$3</f>
        <v>0</v>
      </c>
      <c r="J149" s="212" cm="1">
        <f t="array" ref="J149">IF(J$2&gt;$G$146,$G$147,TREND($F147:$G147,$F146:$G146,J$2))*J$3</f>
        <v>0</v>
      </c>
      <c r="K149" s="212" cm="1">
        <f t="array" ref="K149">IF(K$2&gt;$G$146,$G$147,TREND($F147:$G147,$F146:$G146,K$2))*K$3</f>
        <v>0</v>
      </c>
      <c r="L149" s="212" cm="1">
        <f t="array" ref="L149">IF(L$2&gt;$G$146,$G$147,TREND($F147:$G147,$F146:$G146,L$2))*L$3</f>
        <v>0</v>
      </c>
      <c r="M149" s="212" cm="1">
        <f t="array" ref="M149">IF(M$2&gt;$G$146,$G$147,TREND($F147:$G147,$F146:$G146,M$2))*M$3</f>
        <v>0</v>
      </c>
      <c r="N149" s="212" cm="1">
        <f t="array" ref="N149">IF(N$2&gt;$G$146,$G$147,TREND($F147:$G147,$F146:$G146,N$2))*N$3</f>
        <v>0</v>
      </c>
      <c r="O149" s="212" cm="1">
        <f t="array" ref="O149">IF(O$2&gt;$G$146,$G$147,TREND($F147:$G147,$F146:$G146,O$2))*O$3</f>
        <v>0</v>
      </c>
      <c r="P149" s="212" cm="1">
        <f t="array" ref="P149">IF(P$2&gt;$G$146,$G$147,TREND($F147:$G147,$F146:$G146,P$2))*P$3</f>
        <v>0.33000000000001961</v>
      </c>
      <c r="Q149" s="212" cm="1">
        <f t="array" ref="Q149">IF(Q$2&gt;$G$146,$G$147,TREND($F147:$G147,$F146:$G146,Q$2))*Q$3</f>
        <v>0.50800000000000978</v>
      </c>
      <c r="R149" s="212" cm="1">
        <f t="array" ref="R149">IF(R$2&gt;$G$146,$G$147,TREND($F147:$G147,$F146:$G146,R$2))*R$3</f>
        <v>0.57600000000002183</v>
      </c>
      <c r="S149" s="212" cm="1">
        <f t="array" ref="S149">IF(S$2&gt;$G$146,$G$147,TREND($F147:$G147,$F146:$G146,S$2))*S$3</f>
        <v>0.64400000000003388</v>
      </c>
      <c r="T149" s="212" cm="1">
        <f t="array" ref="T149">IF(T$2&gt;$G$146,$G$147,TREND($F147:$G147,$F146:$G146,T$2))*T$3</f>
        <v>0.71200000000001751</v>
      </c>
      <c r="U149" s="212" cm="1">
        <f t="array" ref="U149">IF(U$2&gt;$G$146,$G$147,TREND($F147:$G147,$F146:$G146,U$2))*U$3</f>
        <v>0.78000000000002956</v>
      </c>
      <c r="V149" s="212" cm="1">
        <f t="array" ref="V149">IF(V$2&gt;$G$146,$G$147,TREND($F147:$G147,$F146:$G146,V$2))*V$3</f>
        <v>0.78</v>
      </c>
      <c r="W149" s="212" cm="1">
        <f t="array" ref="W149">IF(W$2&gt;$G$146,$G$147,TREND($F147:$G147,$F146:$G146,W$2))*W$3</f>
        <v>0.78</v>
      </c>
      <c r="X149" s="212" cm="1">
        <f t="array" ref="X149">IF(X$2&gt;$G$146,$G$147,TREND($F147:$G147,$F146:$G146,X$2))*X$3</f>
        <v>0.78</v>
      </c>
      <c r="Y149" s="212" cm="1">
        <f t="array" ref="Y149">IF(Y$2&gt;$G$146,$G$147,TREND($F147:$G147,$F146:$G146,Y$2))*Y$3</f>
        <v>0.78</v>
      </c>
      <c r="Z149" s="212" cm="1">
        <f t="array" ref="Z149">IF(Z$2&gt;$G$146,$G$147,TREND($F147:$G147,$F146:$G146,Z$2))*Z$3</f>
        <v>0.78</v>
      </c>
      <c r="AA149" s="212" cm="1">
        <f t="array" ref="AA149">IF(AA$2&gt;$G$146,$G$147,TREND($F147:$G147,$F146:$G146,AA$2))*AA$3</f>
        <v>0.78</v>
      </c>
      <c r="AB149" s="212" cm="1">
        <f t="array" ref="AB149">IF(AB$2&gt;$G$146,$G$147,TREND($F147:$G147,$F146:$G146,AB$2))*AB$3</f>
        <v>0.78</v>
      </c>
      <c r="AC149" s="212" cm="1">
        <f t="array" ref="AC149">IF(AC$2&gt;$G$146,$G$147,TREND($F147:$G147,$F146:$G146,AC$2))*AC$3</f>
        <v>0.78</v>
      </c>
      <c r="AD149" s="212" cm="1">
        <f t="array" ref="AD149">IF(AD$2&gt;$G$146,$G$147,TREND($F147:$G147,$F146:$G146,AD$2))*AD$3</f>
        <v>0.78</v>
      </c>
      <c r="AE149" s="212" cm="1">
        <f t="array" ref="AE149">IF(AE$2&gt;$G$146,$G$147,TREND($F147:$G147,$F146:$G146,AE$2))*AE$3</f>
        <v>0.78</v>
      </c>
      <c r="AF149" s="212" cm="1">
        <f t="array" ref="AF149">IF(AF$2&gt;$G$146,$G$147,TREND($F147:$G147,$F146:$G146,AF$2))*AF$3</f>
        <v>0.78</v>
      </c>
      <c r="AG149" s="212" cm="1">
        <f t="array" ref="AG149">IF(AG$2&gt;$G$146,$G$147,TREND($F147:$G147,$F146:$G146,AG$2))*AG$3</f>
        <v>0.78</v>
      </c>
      <c r="AH149" s="212" cm="1">
        <f t="array" ref="AH149">IF(AH$2&gt;$G$146,$G$147,TREND($F147:$G147,$F146:$G146,AH$2))*AH$3</f>
        <v>0.78</v>
      </c>
      <c r="AI149" s="212" cm="1">
        <f t="array" ref="AI149">IF(AI$2&gt;$G$146,$G$147,TREND($F147:$G147,$F146:$G146,AI$2))*AI$3</f>
        <v>0.78</v>
      </c>
      <c r="AJ149" s="212" cm="1">
        <f t="array" ref="AJ149">IF(AJ$2&gt;$G$146,$G$147,TREND($F147:$G147,$F146:$G146,AJ$2))*AJ$3</f>
        <v>0</v>
      </c>
      <c r="AK149" s="212" cm="1">
        <f t="array" ref="AK149">IF(AK$2&gt;$G$146,$G$147,TREND($F147:$G147,$F146:$G146,AK$2))*AK$3</f>
        <v>0</v>
      </c>
      <c r="AL149" s="212" cm="1">
        <f t="array" ref="AL149">IF(AL$2&gt;$G$146,$G$147,TREND($F147:$G147,$F146:$G146,AL$2))*AL$3</f>
        <v>0</v>
      </c>
      <c r="AM149" s="212" cm="1">
        <f t="array" ref="AM149">IF(AM$2&gt;$G$146,$G$147,TREND($F147:$G147,$F146:$G146,AM$2))*AM$3</f>
        <v>0</v>
      </c>
      <c r="AN149" s="212" cm="1">
        <f t="array" ref="AN149">IF(AN$2&gt;$G$146,$G$147,TREND($F147:$G147,$F146:$G146,AN$2))*AN$3</f>
        <v>0</v>
      </c>
      <c r="AO149" s="212" cm="1">
        <f t="array" ref="AO149">IF(AO$2&gt;$G$146,$G$147,TREND($F147:$G147,$F146:$G146,AO$2))*AO$3</f>
        <v>0</v>
      </c>
      <c r="AP149" s="212" cm="1">
        <f t="array" ref="AP149">IF(AP$2&gt;$G$146,$G$147,TREND($F147:$G147,$F146:$G146,AP$2))*AP$3</f>
        <v>0</v>
      </c>
      <c r="AQ149" s="212" cm="1">
        <f t="array" ref="AQ149">IF(AQ$2&gt;$G$146,$G$147,TREND($F147:$G147,$F146:$G146,AQ$2))*AQ$3</f>
        <v>0</v>
      </c>
      <c r="AR149" s="212" cm="1">
        <f t="array" ref="AR149">IF(AR$2&gt;$G$146,$G$147,TREND($F147:$G147,$F146:$G146,AR$2))*AR$3</f>
        <v>0</v>
      </c>
      <c r="AS149" s="212" cm="1">
        <f t="array" ref="AS149">IF(AS$2&gt;$G$146,$G$147,TREND($F147:$G147,$F146:$G146,AS$2))*AS$3</f>
        <v>0</v>
      </c>
      <c r="AT149" s="212" cm="1">
        <f t="array" ref="AT149">IF(AT$2&gt;$G$146,$G$147,TREND($F147:$G147,$F146:$G146,AT$2))*AT$3</f>
        <v>0</v>
      </c>
      <c r="AU149" s="212" cm="1">
        <f t="array" ref="AU149">IF(AU$2&gt;$G$146,$G$147,TREND($F147:$G147,$F146:$G146,AU$2))*AU$3</f>
        <v>0</v>
      </c>
      <c r="AV149" s="212" cm="1">
        <f t="array" ref="AV149">IF(AV$2&gt;$G$146,$G$147,TREND($F147:$G147,$F146:$G146,AV$2))*AV$3</f>
        <v>0</v>
      </c>
      <c r="AW149" s="212" cm="1">
        <f t="array" ref="AW149">IF(AW$2&gt;$G$146,$G$147,TREND($F147:$G147,$F146:$G146,AW$2))*AW$3</f>
        <v>0</v>
      </c>
      <c r="AX149" s="212" cm="1">
        <f t="array" ref="AX149">IF(AX$2&gt;$G$146,$G$147,TREND($F147:$G147,$F146:$G146,AX$2))*AX$3</f>
        <v>0</v>
      </c>
      <c r="AY149" s="212" cm="1">
        <f t="array" ref="AY149">IF(AY$2&gt;$G$146,$G$147,TREND($F147:$G147,$F146:$G146,AY$2))*AY$3</f>
        <v>0</v>
      </c>
      <c r="AZ149" s="212" cm="1">
        <f t="array" ref="AZ149">IF(AZ$2&gt;$G$146,$G$147,TREND($F147:$G147,$F146:$G146,AZ$2))*AZ$3</f>
        <v>0</v>
      </c>
      <c r="BA149" s="212" cm="1">
        <f t="array" ref="BA149">IF(BA$2&gt;$G$146,$G$147,TREND($F147:$G147,$F146:$G146,BA$2))*BA$3</f>
        <v>0</v>
      </c>
      <c r="BB149" s="212" cm="1">
        <f t="array" ref="BB149">IF(BB$2&gt;$G$146,$G$147,TREND($F147:$G147,$F146:$G146,BB$2))*BB$3</f>
        <v>0</v>
      </c>
    </row>
    <row r="150" spans="1:54">
      <c r="E150" t="s">
        <v>444</v>
      </c>
      <c r="G150" s="34" t="s">
        <v>236</v>
      </c>
      <c r="H150" s="84">
        <f>SUM(I150:BB150)</f>
        <v>5788.0000000000528</v>
      </c>
      <c r="I150" s="213">
        <f>I149*$G$143</f>
        <v>0</v>
      </c>
      <c r="J150" s="213">
        <f t="shared" ref="J150:BB150" si="37">J149*$G$143</f>
        <v>0</v>
      </c>
      <c r="K150" s="213">
        <f t="shared" si="37"/>
        <v>0</v>
      </c>
      <c r="L150" s="213">
        <f t="shared" si="37"/>
        <v>0</v>
      </c>
      <c r="M150" s="213">
        <f t="shared" si="37"/>
        <v>0</v>
      </c>
      <c r="N150" s="213">
        <f t="shared" si="37"/>
        <v>0</v>
      </c>
      <c r="O150" s="213">
        <f t="shared" si="37"/>
        <v>0</v>
      </c>
      <c r="P150" s="213">
        <f t="shared" si="37"/>
        <v>132.00000000000784</v>
      </c>
      <c r="Q150" s="213">
        <f t="shared" si="37"/>
        <v>203.20000000000391</v>
      </c>
      <c r="R150" s="213">
        <f t="shared" si="37"/>
        <v>230.40000000000873</v>
      </c>
      <c r="S150" s="213">
        <f t="shared" si="37"/>
        <v>257.60000000001355</v>
      </c>
      <c r="T150" s="213">
        <f t="shared" si="37"/>
        <v>284.800000000007</v>
      </c>
      <c r="U150" s="213">
        <f t="shared" si="37"/>
        <v>312.00000000001182</v>
      </c>
      <c r="V150" s="213">
        <f t="shared" si="37"/>
        <v>312</v>
      </c>
      <c r="W150" s="213">
        <f t="shared" si="37"/>
        <v>312</v>
      </c>
      <c r="X150" s="213">
        <f t="shared" si="37"/>
        <v>312</v>
      </c>
      <c r="Y150" s="213">
        <f t="shared" si="37"/>
        <v>312</v>
      </c>
      <c r="Z150" s="213">
        <f t="shared" si="37"/>
        <v>312</v>
      </c>
      <c r="AA150" s="213">
        <f t="shared" si="37"/>
        <v>312</v>
      </c>
      <c r="AB150" s="213">
        <f t="shared" si="37"/>
        <v>312</v>
      </c>
      <c r="AC150" s="213">
        <f t="shared" si="37"/>
        <v>312</v>
      </c>
      <c r="AD150" s="213">
        <f t="shared" si="37"/>
        <v>312</v>
      </c>
      <c r="AE150" s="213">
        <f t="shared" si="37"/>
        <v>312</v>
      </c>
      <c r="AF150" s="213">
        <f t="shared" si="37"/>
        <v>312</v>
      </c>
      <c r="AG150" s="213">
        <f t="shared" si="37"/>
        <v>312</v>
      </c>
      <c r="AH150" s="213">
        <f t="shared" si="37"/>
        <v>312</v>
      </c>
      <c r="AI150" s="213">
        <f t="shared" si="37"/>
        <v>312</v>
      </c>
      <c r="AJ150" s="213">
        <f t="shared" si="37"/>
        <v>0</v>
      </c>
      <c r="AK150" s="213">
        <f t="shared" si="37"/>
        <v>0</v>
      </c>
      <c r="AL150" s="213">
        <f t="shared" si="37"/>
        <v>0</v>
      </c>
      <c r="AM150" s="213">
        <f t="shared" si="37"/>
        <v>0</v>
      </c>
      <c r="AN150" s="213">
        <f t="shared" si="37"/>
        <v>0</v>
      </c>
      <c r="AO150" s="213">
        <f t="shared" si="37"/>
        <v>0</v>
      </c>
      <c r="AP150" s="213">
        <f t="shared" si="37"/>
        <v>0</v>
      </c>
      <c r="AQ150" s="213">
        <f t="shared" si="37"/>
        <v>0</v>
      </c>
      <c r="AR150" s="213">
        <f t="shared" si="37"/>
        <v>0</v>
      </c>
      <c r="AS150" s="213">
        <f t="shared" si="37"/>
        <v>0</v>
      </c>
      <c r="AT150" s="213">
        <f t="shared" si="37"/>
        <v>0</v>
      </c>
      <c r="AU150" s="213">
        <f t="shared" si="37"/>
        <v>0</v>
      </c>
      <c r="AV150" s="213">
        <f t="shared" si="37"/>
        <v>0</v>
      </c>
      <c r="AW150" s="213">
        <f t="shared" si="37"/>
        <v>0</v>
      </c>
      <c r="AX150" s="213">
        <f t="shared" si="37"/>
        <v>0</v>
      </c>
      <c r="AY150" s="213">
        <f t="shared" si="37"/>
        <v>0</v>
      </c>
      <c r="AZ150" s="213">
        <f t="shared" si="37"/>
        <v>0</v>
      </c>
      <c r="BA150" s="213">
        <f t="shared" si="37"/>
        <v>0</v>
      </c>
      <c r="BB150" s="213">
        <f t="shared" si="37"/>
        <v>0</v>
      </c>
    </row>
    <row r="151" spans="1:54">
      <c r="E151" t="s">
        <v>445</v>
      </c>
      <c r="G151" s="34" t="s">
        <v>236</v>
      </c>
      <c r="H151" s="84">
        <f>SUM(I151:BB151)</f>
        <v>4167360.0000000382</v>
      </c>
      <c r="I151" s="213">
        <f t="shared" ref="I151:BB151" si="38">I150*annual_factor*$G$144</f>
        <v>0</v>
      </c>
      <c r="J151" s="213">
        <f t="shared" si="38"/>
        <v>0</v>
      </c>
      <c r="K151" s="213">
        <f t="shared" si="38"/>
        <v>0</v>
      </c>
      <c r="L151" s="213">
        <f t="shared" si="38"/>
        <v>0</v>
      </c>
      <c r="M151" s="213">
        <f t="shared" si="38"/>
        <v>0</v>
      </c>
      <c r="N151" s="213">
        <f t="shared" si="38"/>
        <v>0</v>
      </c>
      <c r="O151" s="213">
        <f t="shared" si="38"/>
        <v>0</v>
      </c>
      <c r="P151" s="213">
        <f t="shared" si="38"/>
        <v>95040.000000005646</v>
      </c>
      <c r="Q151" s="213">
        <f t="shared" si="38"/>
        <v>146304.00000000282</v>
      </c>
      <c r="R151" s="213">
        <f t="shared" si="38"/>
        <v>165888.00000000629</v>
      </c>
      <c r="S151" s="213">
        <f t="shared" si="38"/>
        <v>185472.00000000975</v>
      </c>
      <c r="T151" s="213">
        <f t="shared" si="38"/>
        <v>205056.00000000503</v>
      </c>
      <c r="U151" s="213">
        <f t="shared" si="38"/>
        <v>224640.0000000085</v>
      </c>
      <c r="V151" s="213">
        <f t="shared" si="38"/>
        <v>224640</v>
      </c>
      <c r="W151" s="213">
        <f t="shared" si="38"/>
        <v>224640</v>
      </c>
      <c r="X151" s="213">
        <f t="shared" si="38"/>
        <v>224640</v>
      </c>
      <c r="Y151" s="213">
        <f t="shared" si="38"/>
        <v>224640</v>
      </c>
      <c r="Z151" s="213">
        <f t="shared" si="38"/>
        <v>224640</v>
      </c>
      <c r="AA151" s="213">
        <f t="shared" si="38"/>
        <v>224640</v>
      </c>
      <c r="AB151" s="213">
        <f t="shared" si="38"/>
        <v>224640</v>
      </c>
      <c r="AC151" s="213">
        <f t="shared" si="38"/>
        <v>224640</v>
      </c>
      <c r="AD151" s="213">
        <f t="shared" si="38"/>
        <v>224640</v>
      </c>
      <c r="AE151" s="213">
        <f t="shared" si="38"/>
        <v>224640</v>
      </c>
      <c r="AF151" s="213">
        <f t="shared" si="38"/>
        <v>224640</v>
      </c>
      <c r="AG151" s="213">
        <f t="shared" si="38"/>
        <v>224640</v>
      </c>
      <c r="AH151" s="213">
        <f t="shared" si="38"/>
        <v>224640</v>
      </c>
      <c r="AI151" s="213">
        <f t="shared" si="38"/>
        <v>224640</v>
      </c>
      <c r="AJ151" s="213">
        <f t="shared" si="38"/>
        <v>0</v>
      </c>
      <c r="AK151" s="213">
        <f t="shared" si="38"/>
        <v>0</v>
      </c>
      <c r="AL151" s="213">
        <f t="shared" si="38"/>
        <v>0</v>
      </c>
      <c r="AM151" s="213">
        <f t="shared" si="38"/>
        <v>0</v>
      </c>
      <c r="AN151" s="213">
        <f t="shared" si="38"/>
        <v>0</v>
      </c>
      <c r="AO151" s="213">
        <f t="shared" si="38"/>
        <v>0</v>
      </c>
      <c r="AP151" s="213">
        <f t="shared" si="38"/>
        <v>0</v>
      </c>
      <c r="AQ151" s="213">
        <f t="shared" si="38"/>
        <v>0</v>
      </c>
      <c r="AR151" s="213">
        <f t="shared" si="38"/>
        <v>0</v>
      </c>
      <c r="AS151" s="213">
        <f t="shared" si="38"/>
        <v>0</v>
      </c>
      <c r="AT151" s="213">
        <f t="shared" si="38"/>
        <v>0</v>
      </c>
      <c r="AU151" s="213">
        <f t="shared" si="38"/>
        <v>0</v>
      </c>
      <c r="AV151" s="213">
        <f t="shared" si="38"/>
        <v>0</v>
      </c>
      <c r="AW151" s="213">
        <f t="shared" si="38"/>
        <v>0</v>
      </c>
      <c r="AX151" s="213">
        <f t="shared" si="38"/>
        <v>0</v>
      </c>
      <c r="AY151" s="213">
        <f t="shared" si="38"/>
        <v>0</v>
      </c>
      <c r="AZ151" s="213">
        <f t="shared" si="38"/>
        <v>0</v>
      </c>
      <c r="BA151" s="213">
        <f t="shared" si="38"/>
        <v>0</v>
      </c>
      <c r="BB151" s="213">
        <f t="shared" si="38"/>
        <v>0</v>
      </c>
    </row>
    <row r="152" spans="1:54">
      <c r="D152" s="12" t="s">
        <v>34</v>
      </c>
      <c r="G152" s="129"/>
      <c r="H152" s="84"/>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row>
    <row r="153" spans="1:54">
      <c r="E153" t="s">
        <v>225</v>
      </c>
      <c r="G153" s="19" t="s">
        <v>46</v>
      </c>
      <c r="H153" s="62">
        <f>SUM(I153:BB153)</f>
        <v>375168.79422000248</v>
      </c>
      <c r="I153" s="72">
        <f>(I138+I151)*$G$125*$G$124*$G$123*$G$126</f>
        <v>0</v>
      </c>
      <c r="J153" s="72">
        <f t="shared" ref="J153:BB153" si="39">(J138+J151)*$G$125*$G$124*$G$123*$G$126</f>
        <v>0</v>
      </c>
      <c r="K153" s="72">
        <f t="shared" si="39"/>
        <v>0</v>
      </c>
      <c r="L153" s="72">
        <f t="shared" si="39"/>
        <v>0</v>
      </c>
      <c r="M153" s="72">
        <f t="shared" si="39"/>
        <v>0</v>
      </c>
      <c r="N153" s="72">
        <f t="shared" si="39"/>
        <v>0</v>
      </c>
      <c r="O153" s="72">
        <f t="shared" si="39"/>
        <v>0</v>
      </c>
      <c r="P153" s="72">
        <f>(P138+P151)*$G$125*$G$124*$G$123*$G$126</f>
        <v>8444.1555000003118</v>
      </c>
      <c r="Q153" s="72">
        <f t="shared" si="39"/>
        <v>13056.592032000184</v>
      </c>
      <c r="R153" s="72">
        <f t="shared" si="39"/>
        <v>14854.310064000403</v>
      </c>
      <c r="S153" s="72">
        <f t="shared" si="39"/>
        <v>16652.028096000617</v>
      </c>
      <c r="T153" s="72">
        <f t="shared" si="39"/>
        <v>18449.746128000384</v>
      </c>
      <c r="U153" s="72">
        <f t="shared" si="39"/>
        <v>20247.464160000607</v>
      </c>
      <c r="V153" s="72">
        <f t="shared" si="39"/>
        <v>20247.464160000003</v>
      </c>
      <c r="W153" s="72">
        <f t="shared" si="39"/>
        <v>20247.464160000003</v>
      </c>
      <c r="X153" s="72">
        <f t="shared" si="39"/>
        <v>20247.464160000003</v>
      </c>
      <c r="Y153" s="72">
        <f t="shared" si="39"/>
        <v>20247.464160000003</v>
      </c>
      <c r="Z153" s="72">
        <f t="shared" si="39"/>
        <v>20247.464160000003</v>
      </c>
      <c r="AA153" s="72">
        <f t="shared" si="39"/>
        <v>20247.464160000003</v>
      </c>
      <c r="AB153" s="72">
        <f t="shared" si="39"/>
        <v>20247.464160000003</v>
      </c>
      <c r="AC153" s="72">
        <f t="shared" si="39"/>
        <v>20247.464160000003</v>
      </c>
      <c r="AD153" s="72">
        <f t="shared" si="39"/>
        <v>20247.464160000003</v>
      </c>
      <c r="AE153" s="72">
        <f t="shared" si="39"/>
        <v>20247.464160000003</v>
      </c>
      <c r="AF153" s="72">
        <f t="shared" si="39"/>
        <v>20247.464160000003</v>
      </c>
      <c r="AG153" s="72">
        <f t="shared" si="39"/>
        <v>20247.464160000003</v>
      </c>
      <c r="AH153" s="72">
        <f t="shared" si="39"/>
        <v>20247.464160000003</v>
      </c>
      <c r="AI153" s="72">
        <f t="shared" si="39"/>
        <v>20247.464160000003</v>
      </c>
      <c r="AJ153" s="72">
        <f t="shared" si="39"/>
        <v>0</v>
      </c>
      <c r="AK153" s="72">
        <f t="shared" si="39"/>
        <v>0</v>
      </c>
      <c r="AL153" s="72">
        <f t="shared" si="39"/>
        <v>0</v>
      </c>
      <c r="AM153" s="72">
        <f t="shared" si="39"/>
        <v>0</v>
      </c>
      <c r="AN153" s="72">
        <f t="shared" si="39"/>
        <v>0</v>
      </c>
      <c r="AO153" s="72">
        <f t="shared" si="39"/>
        <v>0</v>
      </c>
      <c r="AP153" s="72">
        <f t="shared" si="39"/>
        <v>0</v>
      </c>
      <c r="AQ153" s="72">
        <f t="shared" si="39"/>
        <v>0</v>
      </c>
      <c r="AR153" s="72">
        <f t="shared" si="39"/>
        <v>0</v>
      </c>
      <c r="AS153" s="72">
        <f t="shared" si="39"/>
        <v>0</v>
      </c>
      <c r="AT153" s="72">
        <f t="shared" si="39"/>
        <v>0</v>
      </c>
      <c r="AU153" s="72">
        <f t="shared" si="39"/>
        <v>0</v>
      </c>
      <c r="AV153" s="72">
        <f t="shared" si="39"/>
        <v>0</v>
      </c>
      <c r="AW153" s="72">
        <f t="shared" si="39"/>
        <v>0</v>
      </c>
      <c r="AX153" s="72">
        <f t="shared" si="39"/>
        <v>0</v>
      </c>
      <c r="AY153" s="72">
        <f t="shared" si="39"/>
        <v>0</v>
      </c>
      <c r="AZ153" s="72">
        <f t="shared" si="39"/>
        <v>0</v>
      </c>
      <c r="BA153" s="72">
        <f t="shared" si="39"/>
        <v>0</v>
      </c>
      <c r="BB153" s="72">
        <f t="shared" si="39"/>
        <v>0</v>
      </c>
    </row>
    <row r="154" spans="1:54">
      <c r="E154" t="s">
        <v>246</v>
      </c>
      <c r="G154" s="19" t="s">
        <v>46</v>
      </c>
      <c r="H154" s="62">
        <f>SUM(I154:BB154)</f>
        <v>239497.61398606878</v>
      </c>
      <c r="I154" s="72">
        <f>I153*I$4</f>
        <v>0</v>
      </c>
      <c r="J154" s="72">
        <f t="shared" ref="J154:BB154" si="40">J153*J$4</f>
        <v>0</v>
      </c>
      <c r="K154" s="72">
        <f t="shared" si="40"/>
        <v>0</v>
      </c>
      <c r="L154" s="72">
        <f t="shared" si="40"/>
        <v>0</v>
      </c>
      <c r="M154" s="72">
        <f t="shared" si="40"/>
        <v>0</v>
      </c>
      <c r="N154" s="72">
        <f t="shared" si="40"/>
        <v>0</v>
      </c>
      <c r="O154" s="72">
        <f t="shared" si="40"/>
        <v>0</v>
      </c>
      <c r="P154" s="72">
        <f t="shared" si="40"/>
        <v>7248.7462297582215</v>
      </c>
      <c r="Q154" s="72">
        <f t="shared" si="40"/>
        <v>10871.208935573824</v>
      </c>
      <c r="R154" s="72">
        <f t="shared" si="40"/>
        <v>11996.14835553012</v>
      </c>
      <c r="S154" s="72">
        <f t="shared" si="40"/>
        <v>13043.610229847829</v>
      </c>
      <c r="T154" s="72">
        <f t="shared" si="40"/>
        <v>14017.236698633105</v>
      </c>
      <c r="U154" s="72">
        <f t="shared" si="40"/>
        <v>14920.520924788389</v>
      </c>
      <c r="V154" s="72">
        <f t="shared" si="40"/>
        <v>14471.892264585786</v>
      </c>
      <c r="W154" s="72">
        <f t="shared" si="40"/>
        <v>14036.752923943537</v>
      </c>
      <c r="X154" s="72">
        <f t="shared" si="40"/>
        <v>13614.697307413711</v>
      </c>
      <c r="Y154" s="72">
        <f t="shared" si="40"/>
        <v>13205.332014950256</v>
      </c>
      <c r="Z154" s="72">
        <f t="shared" si="40"/>
        <v>12808.275475218485</v>
      </c>
      <c r="AA154" s="72">
        <f t="shared" si="40"/>
        <v>12423.157589930634</v>
      </c>
      <c r="AB154" s="72">
        <f t="shared" si="40"/>
        <v>12049.619388875493</v>
      </c>
      <c r="AC154" s="72">
        <f t="shared" si="40"/>
        <v>11687.312695320557</v>
      </c>
      <c r="AD154" s="72">
        <f t="shared" si="40"/>
        <v>11335.899801474838</v>
      </c>
      <c r="AE154" s="72">
        <f t="shared" si="40"/>
        <v>10995.053153709834</v>
      </c>
      <c r="AF154" s="72">
        <f t="shared" si="40"/>
        <v>10664.455047245232</v>
      </c>
      <c r="AG154" s="72">
        <f t="shared" si="40"/>
        <v>10343.797330014775</v>
      </c>
      <c r="AH154" s="72">
        <f t="shared" si="40"/>
        <v>10032.781115436252</v>
      </c>
      <c r="AI154" s="72">
        <f t="shared" si="40"/>
        <v>9731.1165038178988</v>
      </c>
      <c r="AJ154" s="72">
        <f t="shared" si="40"/>
        <v>0</v>
      </c>
      <c r="AK154" s="72">
        <f t="shared" si="40"/>
        <v>0</v>
      </c>
      <c r="AL154" s="72">
        <f t="shared" si="40"/>
        <v>0</v>
      </c>
      <c r="AM154" s="72">
        <f t="shared" si="40"/>
        <v>0</v>
      </c>
      <c r="AN154" s="72">
        <f t="shared" si="40"/>
        <v>0</v>
      </c>
      <c r="AO154" s="72">
        <f t="shared" si="40"/>
        <v>0</v>
      </c>
      <c r="AP154" s="72">
        <f t="shared" si="40"/>
        <v>0</v>
      </c>
      <c r="AQ154" s="72">
        <f t="shared" si="40"/>
        <v>0</v>
      </c>
      <c r="AR154" s="72">
        <f t="shared" si="40"/>
        <v>0</v>
      </c>
      <c r="AS154" s="72">
        <f t="shared" si="40"/>
        <v>0</v>
      </c>
      <c r="AT154" s="72">
        <f t="shared" si="40"/>
        <v>0</v>
      </c>
      <c r="AU154" s="72">
        <f t="shared" si="40"/>
        <v>0</v>
      </c>
      <c r="AV154" s="72">
        <f t="shared" si="40"/>
        <v>0</v>
      </c>
      <c r="AW154" s="72">
        <f t="shared" si="40"/>
        <v>0</v>
      </c>
      <c r="AX154" s="72">
        <f t="shared" si="40"/>
        <v>0</v>
      </c>
      <c r="AY154" s="72">
        <f t="shared" si="40"/>
        <v>0</v>
      </c>
      <c r="AZ154" s="72">
        <f t="shared" si="40"/>
        <v>0</v>
      </c>
      <c r="BA154" s="72">
        <f t="shared" si="40"/>
        <v>0</v>
      </c>
      <c r="BB154" s="72">
        <f t="shared" si="40"/>
        <v>0</v>
      </c>
    </row>
    <row r="157" spans="1:54" s="79" customFormat="1">
      <c r="A157" s="77"/>
      <c r="B157" s="78"/>
      <c r="C157" s="77" t="s">
        <v>128</v>
      </c>
      <c r="E157" s="82"/>
      <c r="F157" s="80"/>
      <c r="G157" s="80"/>
      <c r="H157" s="83"/>
      <c r="I157" s="145"/>
      <c r="J157" s="145"/>
      <c r="K157" s="145"/>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row>
    <row r="158" spans="1:54">
      <c r="D158" s="12"/>
      <c r="F158" s="129"/>
      <c r="G158" s="129"/>
    </row>
    <row r="159" spans="1:54">
      <c r="D159" s="12"/>
      <c r="E159" t="s">
        <v>38</v>
      </c>
      <c r="F159" s="129"/>
      <c r="G159" s="129"/>
    </row>
    <row r="160" spans="1:54">
      <c r="D160" s="12" t="s">
        <v>247</v>
      </c>
      <c r="F160" s="147" t="s">
        <v>41</v>
      </c>
      <c r="G160" s="147" t="s">
        <v>65</v>
      </c>
    </row>
    <row r="161" spans="1:54">
      <c r="E161" s="54" t="s">
        <v>441</v>
      </c>
      <c r="F161" s="86" t="s">
        <v>248</v>
      </c>
      <c r="G161" s="146">
        <f>'Project Assumptions'!G61</f>
        <v>35.799999999999997</v>
      </c>
    </row>
    <row r="162" spans="1:54">
      <c r="E162" t="s">
        <v>249</v>
      </c>
      <c r="F162" s="61" t="s">
        <v>250</v>
      </c>
      <c r="G162" s="345">
        <f>'Project Assumptions'!G73</f>
        <v>102.89925000000001</v>
      </c>
    </row>
    <row r="163" spans="1:54">
      <c r="E163" t="s">
        <v>251</v>
      </c>
      <c r="F163" s="61" t="s">
        <v>250</v>
      </c>
      <c r="G163" s="345">
        <f>'Project Assumptions'!G77</f>
        <v>136.66666666666666</v>
      </c>
    </row>
    <row r="164" spans="1:54">
      <c r="F164" s="61"/>
      <c r="G164" s="223"/>
    </row>
    <row r="165" spans="1:54">
      <c r="D165" s="12" t="s">
        <v>34</v>
      </c>
      <c r="G165" s="129"/>
      <c r="I165" s="221"/>
      <c r="J165" s="221"/>
      <c r="K165" s="221"/>
      <c r="L165" s="221"/>
      <c r="M165" s="221"/>
      <c r="N165" s="221"/>
      <c r="O165" s="221"/>
      <c r="P165" s="221"/>
      <c r="Q165" s="221"/>
      <c r="R165" s="221"/>
      <c r="S165" s="221"/>
      <c r="T165" s="221"/>
      <c r="U165" s="221"/>
      <c r="V165" s="221"/>
      <c r="W165" s="221"/>
      <c r="X165" s="221"/>
      <c r="Y165" s="221"/>
      <c r="Z165" s="221"/>
      <c r="AA165" s="221"/>
      <c r="AB165" s="221"/>
      <c r="AC165" s="221"/>
      <c r="AD165" s="221"/>
      <c r="AE165" s="221"/>
      <c r="AF165" s="221"/>
      <c r="AG165" s="221"/>
      <c r="AH165" s="221"/>
      <c r="AI165" s="221"/>
      <c r="AJ165" s="221"/>
      <c r="AK165" s="221"/>
      <c r="AL165" s="221"/>
      <c r="AM165" s="221"/>
      <c r="AN165" s="221"/>
      <c r="AO165" s="221"/>
      <c r="AP165" s="221"/>
      <c r="AQ165" s="221"/>
      <c r="AR165" s="221"/>
      <c r="AS165" s="221"/>
      <c r="AT165" s="221"/>
      <c r="AU165" s="221"/>
      <c r="AV165" s="221"/>
      <c r="AW165" s="221"/>
      <c r="AX165" s="221"/>
      <c r="AY165" s="221"/>
      <c r="AZ165" s="221"/>
      <c r="BA165" s="221"/>
      <c r="BB165" s="221"/>
    </row>
    <row r="166" spans="1:54">
      <c r="E166" t="s">
        <v>252</v>
      </c>
      <c r="F166" s="86"/>
      <c r="G166" s="129"/>
      <c r="H166" s="214">
        <f>SUM(I166:BB166)</f>
        <v>48051585.761010282</v>
      </c>
      <c r="I166" s="72">
        <f>(($G$162*I136)+($G$163*I149))*$G$161*annual_factor</f>
        <v>0</v>
      </c>
      <c r="J166" s="72">
        <f t="shared" ref="J166:BB166" si="41">(($G$162*J136)+($G$163*J149))*$G$161*annual_factor</f>
        <v>0</v>
      </c>
      <c r="K166" s="72">
        <f t="shared" si="41"/>
        <v>0</v>
      </c>
      <c r="L166" s="72">
        <f t="shared" si="41"/>
        <v>0</v>
      </c>
      <c r="M166" s="72">
        <f t="shared" si="41"/>
        <v>0</v>
      </c>
      <c r="N166" s="72">
        <f t="shared" si="41"/>
        <v>0</v>
      </c>
      <c r="O166" s="72">
        <f t="shared" si="41"/>
        <v>0</v>
      </c>
      <c r="P166" s="72">
        <f>(($G$162*P136)+($G$163*P149))*$G$161*annual_factor</f>
        <v>1078560.8752500345</v>
      </c>
      <c r="Q166" s="72">
        <f t="shared" si="41"/>
        <v>1669251.5518560214</v>
      </c>
      <c r="R166" s="72">
        <f t="shared" si="41"/>
        <v>1900421.9367120469</v>
      </c>
      <c r="S166" s="72">
        <f t="shared" si="41"/>
        <v>2131592.3215680723</v>
      </c>
      <c r="T166" s="72">
        <f t="shared" si="41"/>
        <v>2362762.7064240472</v>
      </c>
      <c r="U166" s="72">
        <f t="shared" si="41"/>
        <v>2593933.0912800734</v>
      </c>
      <c r="V166" s="72">
        <f t="shared" si="41"/>
        <v>2593933.0912799998</v>
      </c>
      <c r="W166" s="72">
        <f t="shared" si="41"/>
        <v>2593933.0912799998</v>
      </c>
      <c r="X166" s="72">
        <f t="shared" si="41"/>
        <v>2593933.0912799998</v>
      </c>
      <c r="Y166" s="72">
        <f t="shared" si="41"/>
        <v>2593933.0912799998</v>
      </c>
      <c r="Z166" s="72">
        <f t="shared" si="41"/>
        <v>2593933.0912799998</v>
      </c>
      <c r="AA166" s="72">
        <f t="shared" si="41"/>
        <v>2593933.0912799998</v>
      </c>
      <c r="AB166" s="72">
        <f t="shared" si="41"/>
        <v>2593933.0912799998</v>
      </c>
      <c r="AC166" s="72">
        <f t="shared" si="41"/>
        <v>2593933.0912799998</v>
      </c>
      <c r="AD166" s="72">
        <f t="shared" si="41"/>
        <v>2593933.0912799998</v>
      </c>
      <c r="AE166" s="72">
        <f t="shared" si="41"/>
        <v>2593933.0912799998</v>
      </c>
      <c r="AF166" s="72">
        <f t="shared" si="41"/>
        <v>2593933.0912799998</v>
      </c>
      <c r="AG166" s="72">
        <f t="shared" si="41"/>
        <v>2593933.0912799998</v>
      </c>
      <c r="AH166" s="72">
        <f t="shared" si="41"/>
        <v>2593933.0912799998</v>
      </c>
      <c r="AI166" s="72">
        <f t="shared" si="41"/>
        <v>2593933.0912799998</v>
      </c>
      <c r="AJ166" s="72">
        <f t="shared" si="41"/>
        <v>0</v>
      </c>
      <c r="AK166" s="72">
        <f t="shared" si="41"/>
        <v>0</v>
      </c>
      <c r="AL166" s="72">
        <f t="shared" si="41"/>
        <v>0</v>
      </c>
      <c r="AM166" s="72">
        <f t="shared" si="41"/>
        <v>0</v>
      </c>
      <c r="AN166" s="72">
        <f t="shared" si="41"/>
        <v>0</v>
      </c>
      <c r="AO166" s="72">
        <f t="shared" si="41"/>
        <v>0</v>
      </c>
      <c r="AP166" s="72">
        <f t="shared" si="41"/>
        <v>0</v>
      </c>
      <c r="AQ166" s="72">
        <f t="shared" si="41"/>
        <v>0</v>
      </c>
      <c r="AR166" s="72">
        <f t="shared" si="41"/>
        <v>0</v>
      </c>
      <c r="AS166" s="72">
        <f t="shared" si="41"/>
        <v>0</v>
      </c>
      <c r="AT166" s="72">
        <f t="shared" si="41"/>
        <v>0</v>
      </c>
      <c r="AU166" s="72">
        <f t="shared" si="41"/>
        <v>0</v>
      </c>
      <c r="AV166" s="72">
        <f t="shared" si="41"/>
        <v>0</v>
      </c>
      <c r="AW166" s="72">
        <f t="shared" si="41"/>
        <v>0</v>
      </c>
      <c r="AX166" s="72">
        <f t="shared" si="41"/>
        <v>0</v>
      </c>
      <c r="AY166" s="72">
        <f t="shared" si="41"/>
        <v>0</v>
      </c>
      <c r="AZ166" s="72">
        <f t="shared" si="41"/>
        <v>0</v>
      </c>
      <c r="BA166" s="72">
        <f t="shared" si="41"/>
        <v>0</v>
      </c>
      <c r="BB166" s="72">
        <f t="shared" si="41"/>
        <v>0</v>
      </c>
    </row>
    <row r="167" spans="1:54">
      <c r="I167" s="222"/>
    </row>
    <row r="169" spans="1:54">
      <c r="A169" s="266"/>
      <c r="B169" s="267"/>
      <c r="C169" s="266" t="s">
        <v>253</v>
      </c>
      <c r="D169" s="266"/>
      <c r="E169" s="266"/>
      <c r="F169" s="268"/>
      <c r="G169" s="268"/>
      <c r="H169" s="272"/>
      <c r="I169" s="273"/>
      <c r="J169" s="273"/>
      <c r="K169" s="273"/>
      <c r="L169" s="273"/>
      <c r="M169" s="273"/>
      <c r="N169" s="273"/>
      <c r="O169" s="273"/>
      <c r="P169" s="273"/>
      <c r="Q169" s="273"/>
      <c r="R169" s="273"/>
      <c r="S169" s="273"/>
      <c r="T169" s="273"/>
      <c r="U169" s="273"/>
      <c r="V169" s="273"/>
      <c r="W169" s="273"/>
      <c r="X169" s="273"/>
      <c r="Y169" s="273"/>
      <c r="Z169" s="273"/>
      <c r="AA169" s="273"/>
      <c r="AB169" s="273"/>
      <c r="AC169" s="273"/>
      <c r="AD169" s="273"/>
      <c r="AE169" s="273"/>
      <c r="AF169" s="273"/>
      <c r="AG169" s="273"/>
      <c r="AH169" s="273"/>
      <c r="AI169" s="273"/>
      <c r="AJ169" s="273"/>
      <c r="AK169" s="273"/>
      <c r="AL169" s="273"/>
      <c r="AM169" s="273"/>
      <c r="AN169" s="273"/>
      <c r="AO169" s="273"/>
      <c r="AP169" s="273"/>
      <c r="AQ169" s="273"/>
      <c r="AR169" s="273"/>
      <c r="AS169" s="273"/>
      <c r="AT169" s="273"/>
      <c r="AU169" s="273"/>
      <c r="AV169" s="273"/>
      <c r="AW169" s="273"/>
      <c r="AX169" s="273"/>
      <c r="AY169" s="273"/>
      <c r="AZ169" s="273"/>
      <c r="BA169" s="273"/>
      <c r="BB169" s="273"/>
    </row>
    <row r="170" spans="1:54">
      <c r="A170" s="269"/>
      <c r="B170" s="269"/>
      <c r="C170" s="269"/>
      <c r="D170" s="270"/>
      <c r="E170" s="269"/>
      <c r="F170" s="271"/>
      <c r="G170" s="271"/>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69"/>
      <c r="AV170" s="269"/>
      <c r="AW170" s="269"/>
      <c r="AX170" s="269"/>
      <c r="AY170" s="269"/>
      <c r="AZ170" s="269"/>
      <c r="BA170" s="269"/>
      <c r="BB170" s="269"/>
    </row>
    <row r="171" spans="1:54">
      <c r="A171" s="269"/>
      <c r="B171" s="269"/>
      <c r="C171" s="269"/>
      <c r="D171" s="270"/>
      <c r="E171" s="269" t="s">
        <v>38</v>
      </c>
      <c r="F171" s="271"/>
      <c r="G171" s="271"/>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69"/>
      <c r="AV171" s="269"/>
      <c r="AW171" s="269"/>
      <c r="AX171" s="269"/>
      <c r="AY171" s="269"/>
      <c r="AZ171" s="269"/>
      <c r="BA171" s="269"/>
      <c r="BB171" s="269"/>
    </row>
    <row r="172" spans="1:54">
      <c r="A172" s="269"/>
      <c r="B172" s="269"/>
      <c r="C172" s="269"/>
      <c r="D172" s="270" t="s">
        <v>247</v>
      </c>
      <c r="E172" s="270"/>
      <c r="F172" s="274" t="s">
        <v>41</v>
      </c>
      <c r="G172" s="274" t="s">
        <v>65</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69"/>
      <c r="AV172" s="269"/>
      <c r="AW172" s="269"/>
      <c r="AX172" s="269"/>
      <c r="AY172" s="269"/>
      <c r="AZ172" s="269"/>
      <c r="BA172" s="269"/>
      <c r="BB172" s="269"/>
    </row>
    <row r="173" spans="1:54">
      <c r="A173" s="269"/>
      <c r="B173" s="269"/>
      <c r="C173" s="269"/>
      <c r="D173" s="270"/>
      <c r="E173" s="269" t="s">
        <v>380</v>
      </c>
      <c r="F173" s="275" t="s">
        <v>375</v>
      </c>
      <c r="G173" s="279">
        <f>'Project Assumptions'!G47</f>
        <v>649</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69"/>
      <c r="AV173" s="269"/>
      <c r="AW173" s="269"/>
      <c r="AX173" s="269"/>
      <c r="AY173" s="269"/>
      <c r="AZ173" s="269"/>
      <c r="BA173" s="269"/>
      <c r="BB173" s="269"/>
    </row>
    <row r="174" spans="1:54">
      <c r="A174" s="269"/>
      <c r="B174" s="269"/>
      <c r="C174" s="269"/>
      <c r="D174" s="270"/>
      <c r="E174" s="269" t="s">
        <v>381</v>
      </c>
      <c r="F174" s="275" t="s">
        <v>376</v>
      </c>
      <c r="G174" s="279">
        <f>'Project Assumptions'!G50</f>
        <v>2</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69"/>
      <c r="AV174" s="269"/>
      <c r="AW174" s="269"/>
      <c r="AX174" s="269"/>
      <c r="AY174" s="269"/>
      <c r="AZ174" s="269"/>
      <c r="BA174" s="269"/>
      <c r="BB174" s="269"/>
    </row>
    <row r="175" spans="1:54">
      <c r="A175" s="269"/>
      <c r="B175" s="269"/>
      <c r="C175" s="269"/>
      <c r="D175" s="269"/>
      <c r="E175" s="269" t="s">
        <v>254</v>
      </c>
      <c r="F175" s="269" t="s">
        <v>80</v>
      </c>
      <c r="G175" s="280">
        <f>'Project Assumptions'!G48</f>
        <v>0.3</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69"/>
      <c r="AV175" s="269"/>
      <c r="AW175" s="269"/>
      <c r="AX175" s="269"/>
      <c r="AY175" s="269"/>
      <c r="AZ175" s="269"/>
      <c r="BA175" s="269"/>
      <c r="BB175" s="269"/>
    </row>
    <row r="176" spans="1:54">
      <c r="A176" s="269"/>
      <c r="B176" s="269"/>
      <c r="C176" s="269"/>
      <c r="D176" s="269"/>
      <c r="E176" s="269" t="s">
        <v>255</v>
      </c>
      <c r="F176" s="269" t="s">
        <v>80</v>
      </c>
      <c r="G176" s="281">
        <f>'Project Assumptions'!G49</f>
        <v>0.01</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69"/>
      <c r="AV176" s="269"/>
      <c r="AW176" s="269"/>
      <c r="AX176" s="269"/>
      <c r="AY176" s="269"/>
      <c r="AZ176" s="269"/>
      <c r="BA176" s="269"/>
      <c r="BB176" s="269"/>
    </row>
    <row r="177" spans="1:54">
      <c r="A177" s="269"/>
      <c r="B177" s="269"/>
      <c r="C177" s="269"/>
      <c r="D177" s="269"/>
      <c r="E177" s="269" t="s">
        <v>256</v>
      </c>
      <c r="F177" s="275" t="s">
        <v>257</v>
      </c>
      <c r="G177" s="282">
        <f>'Project Assumptions'!G52</f>
        <v>1.67</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69"/>
      <c r="AV177" s="269"/>
      <c r="AW177" s="269"/>
      <c r="AX177" s="269"/>
      <c r="AY177" s="269"/>
      <c r="AZ177" s="269"/>
      <c r="BA177" s="269"/>
      <c r="BB177" s="269"/>
    </row>
    <row r="178" spans="1:54">
      <c r="A178" s="269"/>
      <c r="B178" s="269"/>
      <c r="C178" s="269"/>
      <c r="D178" s="269"/>
      <c r="E178" s="269" t="s">
        <v>258</v>
      </c>
      <c r="F178" s="275" t="s">
        <v>259</v>
      </c>
      <c r="G178" s="281">
        <f>'Project Assumptions'!G51</f>
        <v>3.2</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69"/>
      <c r="AV178" s="269"/>
      <c r="AW178" s="269"/>
      <c r="AX178" s="269"/>
      <c r="AY178" s="269"/>
      <c r="AZ178" s="269"/>
      <c r="BA178" s="269"/>
      <c r="BB178" s="269"/>
    </row>
    <row r="179" spans="1:54">
      <c r="A179" s="269"/>
      <c r="B179" s="269"/>
      <c r="C179" s="269"/>
      <c r="D179" s="269"/>
      <c r="E179" s="269" t="s">
        <v>260</v>
      </c>
      <c r="F179" s="269" t="s">
        <v>248</v>
      </c>
      <c r="G179" s="283">
        <f>'Project Assumptions'!G53</f>
        <v>35.799999999999997</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69"/>
      <c r="AV179" s="269"/>
      <c r="AW179" s="269"/>
      <c r="AX179" s="269"/>
      <c r="AY179" s="269"/>
      <c r="AZ179" s="269"/>
      <c r="BA179" s="269"/>
      <c r="BB179" s="269"/>
    </row>
    <row r="180" spans="1:54">
      <c r="A180" s="269"/>
      <c r="B180" s="269"/>
      <c r="C180" s="269"/>
      <c r="D180" s="269"/>
      <c r="E180" s="269"/>
      <c r="F180" s="275"/>
      <c r="G180" s="276"/>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69"/>
      <c r="AV180" s="269"/>
      <c r="AW180" s="269"/>
      <c r="AX180" s="269"/>
      <c r="AY180" s="269"/>
      <c r="AZ180" s="269"/>
      <c r="BA180" s="269"/>
      <c r="BB180" s="269"/>
    </row>
    <row r="181" spans="1:54">
      <c r="A181" s="269"/>
      <c r="B181" s="269"/>
      <c r="C181" s="269"/>
      <c r="D181" s="269"/>
      <c r="E181" s="269"/>
      <c r="F181" s="275"/>
      <c r="G181" s="276"/>
      <c r="H181" s="269"/>
      <c r="I181" s="269"/>
      <c r="J181" s="269"/>
      <c r="K181" s="269"/>
      <c r="L181" s="269"/>
      <c r="M181" s="269"/>
      <c r="N181" s="269"/>
      <c r="O181" s="269"/>
      <c r="P181" s="269"/>
      <c r="Q181" s="269"/>
      <c r="R181" s="269"/>
      <c r="S181" s="269"/>
      <c r="T181" s="269"/>
      <c r="U181" s="269"/>
      <c r="V181" s="269"/>
      <c r="W181" s="269"/>
      <c r="X181" s="269"/>
      <c r="Y181" s="269"/>
      <c r="Z181" s="269"/>
      <c r="AA181" s="269"/>
      <c r="AB181" s="269"/>
      <c r="AC181" s="269"/>
      <c r="AD181" s="269"/>
      <c r="AE181" s="269"/>
      <c r="AF181" s="269"/>
      <c r="AG181" s="269"/>
      <c r="AH181" s="269"/>
      <c r="AI181" s="269"/>
      <c r="AJ181" s="269"/>
      <c r="AK181" s="269"/>
      <c r="AL181" s="269"/>
      <c r="AM181" s="269"/>
      <c r="AN181" s="269"/>
      <c r="AO181" s="269"/>
      <c r="AP181" s="269"/>
      <c r="AQ181" s="269"/>
      <c r="AR181" s="269"/>
      <c r="AS181" s="269"/>
      <c r="AT181" s="269"/>
      <c r="AU181" s="269"/>
      <c r="AV181" s="269"/>
      <c r="AW181" s="269"/>
      <c r="AX181" s="269"/>
      <c r="AY181" s="269"/>
      <c r="AZ181" s="269"/>
      <c r="BA181" s="269"/>
      <c r="BB181" s="269"/>
    </row>
    <row r="182" spans="1:54">
      <c r="A182" s="269"/>
      <c r="B182" s="269"/>
      <c r="C182" s="269"/>
      <c r="D182" s="269"/>
      <c r="E182" s="269" t="s">
        <v>240</v>
      </c>
      <c r="F182" s="275"/>
      <c r="G182" s="369" t="s">
        <v>75</v>
      </c>
      <c r="H182" s="269"/>
      <c r="I182" s="371">
        <f>I136</f>
        <v>0</v>
      </c>
      <c r="J182" s="371">
        <f t="shared" ref="J182:BB182" si="42">J136</f>
        <v>0</v>
      </c>
      <c r="K182" s="371">
        <f t="shared" si="42"/>
        <v>0</v>
      </c>
      <c r="L182" s="371">
        <f t="shared" si="42"/>
        <v>0</v>
      </c>
      <c r="M182" s="371">
        <f t="shared" si="42"/>
        <v>0</v>
      </c>
      <c r="N182" s="371">
        <f t="shared" si="42"/>
        <v>0</v>
      </c>
      <c r="O182" s="371">
        <f t="shared" si="42"/>
        <v>0</v>
      </c>
      <c r="P182" s="371">
        <f>P136</f>
        <v>0.375</v>
      </c>
      <c r="Q182" s="371">
        <f t="shared" si="42"/>
        <v>0.58400000000000318</v>
      </c>
      <c r="R182" s="371">
        <f t="shared" si="42"/>
        <v>0.66800000000000637</v>
      </c>
      <c r="S182" s="371">
        <f t="shared" si="42"/>
        <v>0.75200000000000955</v>
      </c>
      <c r="T182" s="371">
        <f t="shared" si="42"/>
        <v>0.83600000000001273</v>
      </c>
      <c r="U182" s="371">
        <f t="shared" si="42"/>
        <v>0.92000000000001592</v>
      </c>
      <c r="V182" s="371">
        <f t="shared" si="42"/>
        <v>0.92</v>
      </c>
      <c r="W182" s="371">
        <f t="shared" si="42"/>
        <v>0.92</v>
      </c>
      <c r="X182" s="371">
        <f t="shared" si="42"/>
        <v>0.92</v>
      </c>
      <c r="Y182" s="371">
        <f t="shared" si="42"/>
        <v>0.92</v>
      </c>
      <c r="Z182" s="371">
        <f t="shared" si="42"/>
        <v>0.92</v>
      </c>
      <c r="AA182" s="371">
        <f t="shared" si="42"/>
        <v>0.92</v>
      </c>
      <c r="AB182" s="371">
        <f t="shared" si="42"/>
        <v>0.92</v>
      </c>
      <c r="AC182" s="371">
        <f t="shared" si="42"/>
        <v>0.92</v>
      </c>
      <c r="AD182" s="371">
        <f t="shared" si="42"/>
        <v>0.92</v>
      </c>
      <c r="AE182" s="371">
        <f t="shared" si="42"/>
        <v>0.92</v>
      </c>
      <c r="AF182" s="371">
        <f t="shared" si="42"/>
        <v>0.92</v>
      </c>
      <c r="AG182" s="371">
        <f t="shared" si="42"/>
        <v>0.92</v>
      </c>
      <c r="AH182" s="371">
        <f t="shared" si="42"/>
        <v>0.92</v>
      </c>
      <c r="AI182" s="371">
        <f t="shared" si="42"/>
        <v>0.92</v>
      </c>
      <c r="AJ182" s="371">
        <f t="shared" si="42"/>
        <v>0</v>
      </c>
      <c r="AK182" s="371">
        <f t="shared" si="42"/>
        <v>0</v>
      </c>
      <c r="AL182" s="371">
        <f t="shared" si="42"/>
        <v>0</v>
      </c>
      <c r="AM182" s="371">
        <f t="shared" si="42"/>
        <v>0</v>
      </c>
      <c r="AN182" s="371">
        <f t="shared" si="42"/>
        <v>0</v>
      </c>
      <c r="AO182" s="371">
        <f t="shared" si="42"/>
        <v>0</v>
      </c>
      <c r="AP182" s="371">
        <f t="shared" si="42"/>
        <v>0</v>
      </c>
      <c r="AQ182" s="371">
        <f t="shared" si="42"/>
        <v>0</v>
      </c>
      <c r="AR182" s="371">
        <f t="shared" si="42"/>
        <v>0</v>
      </c>
      <c r="AS182" s="371">
        <f t="shared" si="42"/>
        <v>0</v>
      </c>
      <c r="AT182" s="371">
        <f t="shared" si="42"/>
        <v>0</v>
      </c>
      <c r="AU182" s="371">
        <f t="shared" si="42"/>
        <v>0</v>
      </c>
      <c r="AV182" s="371">
        <f t="shared" si="42"/>
        <v>0</v>
      </c>
      <c r="AW182" s="371">
        <f t="shared" si="42"/>
        <v>0</v>
      </c>
      <c r="AX182" s="371">
        <f t="shared" si="42"/>
        <v>0</v>
      </c>
      <c r="AY182" s="371">
        <f t="shared" si="42"/>
        <v>0</v>
      </c>
      <c r="AZ182" s="371">
        <f t="shared" si="42"/>
        <v>0</v>
      </c>
      <c r="BA182" s="371">
        <f t="shared" si="42"/>
        <v>0</v>
      </c>
      <c r="BB182" s="371">
        <f t="shared" si="42"/>
        <v>0</v>
      </c>
    </row>
    <row r="183" spans="1:54">
      <c r="A183" s="269"/>
      <c r="B183" s="269"/>
      <c r="C183" s="269"/>
      <c r="D183" s="269"/>
      <c r="E183" s="269" t="s">
        <v>454</v>
      </c>
      <c r="F183" s="275"/>
      <c r="G183" s="369" t="s">
        <v>457</v>
      </c>
      <c r="H183" s="370">
        <f>SUM(I183:BB183)</f>
        <v>15607151.999999994</v>
      </c>
      <c r="I183" s="370">
        <f t="shared" ref="I183:BB183" si="43">$G$173*annual_factor*$G$174*$G$177*IF(I$3&gt;0,1,0)</f>
        <v>0</v>
      </c>
      <c r="J183" s="370">
        <f t="shared" si="43"/>
        <v>0</v>
      </c>
      <c r="K183" s="370">
        <f t="shared" si="43"/>
        <v>0</v>
      </c>
      <c r="L183" s="370">
        <f t="shared" si="43"/>
        <v>0</v>
      </c>
      <c r="M183" s="370">
        <f t="shared" si="43"/>
        <v>0</v>
      </c>
      <c r="N183" s="370">
        <f t="shared" si="43"/>
        <v>0</v>
      </c>
      <c r="O183" s="370">
        <f t="shared" si="43"/>
        <v>0</v>
      </c>
      <c r="P183" s="370">
        <f t="shared" si="43"/>
        <v>780357.6</v>
      </c>
      <c r="Q183" s="370">
        <f t="shared" si="43"/>
        <v>780357.6</v>
      </c>
      <c r="R183" s="370">
        <f t="shared" si="43"/>
        <v>780357.6</v>
      </c>
      <c r="S183" s="370">
        <f t="shared" si="43"/>
        <v>780357.6</v>
      </c>
      <c r="T183" s="370">
        <f t="shared" si="43"/>
        <v>780357.6</v>
      </c>
      <c r="U183" s="370">
        <f t="shared" si="43"/>
        <v>780357.6</v>
      </c>
      <c r="V183" s="370">
        <f t="shared" si="43"/>
        <v>780357.6</v>
      </c>
      <c r="W183" s="370">
        <f t="shared" si="43"/>
        <v>780357.6</v>
      </c>
      <c r="X183" s="370">
        <f t="shared" si="43"/>
        <v>780357.6</v>
      </c>
      <c r="Y183" s="370">
        <f t="shared" si="43"/>
        <v>780357.6</v>
      </c>
      <c r="Z183" s="370">
        <f t="shared" si="43"/>
        <v>780357.6</v>
      </c>
      <c r="AA183" s="370">
        <f t="shared" si="43"/>
        <v>780357.6</v>
      </c>
      <c r="AB183" s="370">
        <f t="shared" si="43"/>
        <v>780357.6</v>
      </c>
      <c r="AC183" s="370">
        <f t="shared" si="43"/>
        <v>780357.6</v>
      </c>
      <c r="AD183" s="370">
        <f t="shared" si="43"/>
        <v>780357.6</v>
      </c>
      <c r="AE183" s="370">
        <f t="shared" si="43"/>
        <v>780357.6</v>
      </c>
      <c r="AF183" s="370">
        <f t="shared" si="43"/>
        <v>780357.6</v>
      </c>
      <c r="AG183" s="370">
        <f t="shared" si="43"/>
        <v>780357.6</v>
      </c>
      <c r="AH183" s="370">
        <f t="shared" si="43"/>
        <v>780357.6</v>
      </c>
      <c r="AI183" s="370">
        <f t="shared" si="43"/>
        <v>780357.6</v>
      </c>
      <c r="AJ183" s="370">
        <f t="shared" si="43"/>
        <v>0</v>
      </c>
      <c r="AK183" s="370">
        <f t="shared" si="43"/>
        <v>0</v>
      </c>
      <c r="AL183" s="370">
        <f t="shared" si="43"/>
        <v>0</v>
      </c>
      <c r="AM183" s="370">
        <f t="shared" si="43"/>
        <v>0</v>
      </c>
      <c r="AN183" s="370">
        <f t="shared" si="43"/>
        <v>0</v>
      </c>
      <c r="AO183" s="370">
        <f t="shared" si="43"/>
        <v>0</v>
      </c>
      <c r="AP183" s="370">
        <f t="shared" si="43"/>
        <v>0</v>
      </c>
      <c r="AQ183" s="370">
        <f t="shared" si="43"/>
        <v>0</v>
      </c>
      <c r="AR183" s="370">
        <f t="shared" si="43"/>
        <v>0</v>
      </c>
      <c r="AS183" s="370">
        <f t="shared" si="43"/>
        <v>0</v>
      </c>
      <c r="AT183" s="370">
        <f t="shared" si="43"/>
        <v>0</v>
      </c>
      <c r="AU183" s="370">
        <f t="shared" si="43"/>
        <v>0</v>
      </c>
      <c r="AV183" s="370">
        <f t="shared" si="43"/>
        <v>0</v>
      </c>
      <c r="AW183" s="370">
        <f t="shared" si="43"/>
        <v>0</v>
      </c>
      <c r="AX183" s="370">
        <f t="shared" si="43"/>
        <v>0</v>
      </c>
      <c r="AY183" s="370">
        <f t="shared" si="43"/>
        <v>0</v>
      </c>
      <c r="AZ183" s="370">
        <f t="shared" si="43"/>
        <v>0</v>
      </c>
      <c r="BA183" s="370">
        <f t="shared" si="43"/>
        <v>0</v>
      </c>
      <c r="BB183" s="370">
        <f t="shared" si="43"/>
        <v>0</v>
      </c>
    </row>
    <row r="184" spans="1:54">
      <c r="A184" s="269"/>
      <c r="B184" s="269"/>
      <c r="C184" s="269"/>
      <c r="D184" s="269"/>
      <c r="E184" s="269" t="s">
        <v>455</v>
      </c>
      <c r="F184" s="275"/>
      <c r="G184" s="369" t="s">
        <v>456</v>
      </c>
      <c r="H184" s="370">
        <f t="shared" ref="H184" si="44">SUM(I184:BB184)</f>
        <v>1.8124999999999993</v>
      </c>
      <c r="I184" s="277">
        <f t="shared" ref="I184:BB184" si="45">($G$175-$G$176)/$G$178*IF(I$3&gt;0,1,0)</f>
        <v>0</v>
      </c>
      <c r="J184" s="277">
        <f t="shared" si="45"/>
        <v>0</v>
      </c>
      <c r="K184" s="277">
        <f t="shared" si="45"/>
        <v>0</v>
      </c>
      <c r="L184" s="277">
        <f t="shared" si="45"/>
        <v>0</v>
      </c>
      <c r="M184" s="277">
        <f t="shared" si="45"/>
        <v>0</v>
      </c>
      <c r="N184" s="277">
        <f t="shared" si="45"/>
        <v>0</v>
      </c>
      <c r="O184" s="277">
        <f t="shared" si="45"/>
        <v>0</v>
      </c>
      <c r="P184" s="277">
        <f t="shared" si="45"/>
        <v>9.0624999999999983E-2</v>
      </c>
      <c r="Q184" s="277">
        <f t="shared" si="45"/>
        <v>9.0624999999999983E-2</v>
      </c>
      <c r="R184" s="277">
        <f t="shared" si="45"/>
        <v>9.0624999999999983E-2</v>
      </c>
      <c r="S184" s="277">
        <f t="shared" si="45"/>
        <v>9.0624999999999983E-2</v>
      </c>
      <c r="T184" s="277">
        <f t="shared" si="45"/>
        <v>9.0624999999999983E-2</v>
      </c>
      <c r="U184" s="277">
        <f t="shared" si="45"/>
        <v>9.0624999999999983E-2</v>
      </c>
      <c r="V184" s="277">
        <f t="shared" si="45"/>
        <v>9.0624999999999983E-2</v>
      </c>
      <c r="W184" s="277">
        <f t="shared" si="45"/>
        <v>9.0624999999999983E-2</v>
      </c>
      <c r="X184" s="277">
        <f t="shared" si="45"/>
        <v>9.0624999999999983E-2</v>
      </c>
      <c r="Y184" s="277">
        <f t="shared" si="45"/>
        <v>9.0624999999999983E-2</v>
      </c>
      <c r="Z184" s="277">
        <f t="shared" si="45"/>
        <v>9.0624999999999983E-2</v>
      </c>
      <c r="AA184" s="277">
        <f t="shared" si="45"/>
        <v>9.0624999999999983E-2</v>
      </c>
      <c r="AB184" s="277">
        <f t="shared" si="45"/>
        <v>9.0624999999999983E-2</v>
      </c>
      <c r="AC184" s="277">
        <f t="shared" si="45"/>
        <v>9.0624999999999983E-2</v>
      </c>
      <c r="AD184" s="277">
        <f t="shared" si="45"/>
        <v>9.0624999999999983E-2</v>
      </c>
      <c r="AE184" s="277">
        <f t="shared" si="45"/>
        <v>9.0624999999999983E-2</v>
      </c>
      <c r="AF184" s="277">
        <f t="shared" si="45"/>
        <v>9.0624999999999983E-2</v>
      </c>
      <c r="AG184" s="277">
        <f t="shared" si="45"/>
        <v>9.0624999999999983E-2</v>
      </c>
      <c r="AH184" s="277">
        <f t="shared" si="45"/>
        <v>9.0624999999999983E-2</v>
      </c>
      <c r="AI184" s="277">
        <f t="shared" si="45"/>
        <v>9.0624999999999983E-2</v>
      </c>
      <c r="AJ184" s="277">
        <f t="shared" si="45"/>
        <v>0</v>
      </c>
      <c r="AK184" s="277">
        <f t="shared" si="45"/>
        <v>0</v>
      </c>
      <c r="AL184" s="277">
        <f t="shared" si="45"/>
        <v>0</v>
      </c>
      <c r="AM184" s="277">
        <f t="shared" si="45"/>
        <v>0</v>
      </c>
      <c r="AN184" s="277">
        <f t="shared" si="45"/>
        <v>0</v>
      </c>
      <c r="AO184" s="277">
        <f t="shared" si="45"/>
        <v>0</v>
      </c>
      <c r="AP184" s="277">
        <f t="shared" si="45"/>
        <v>0</v>
      </c>
      <c r="AQ184" s="277">
        <f t="shared" si="45"/>
        <v>0</v>
      </c>
      <c r="AR184" s="277">
        <f t="shared" si="45"/>
        <v>0</v>
      </c>
      <c r="AS184" s="277">
        <f t="shared" si="45"/>
        <v>0</v>
      </c>
      <c r="AT184" s="277">
        <f t="shared" si="45"/>
        <v>0</v>
      </c>
      <c r="AU184" s="277">
        <f t="shared" si="45"/>
        <v>0</v>
      </c>
      <c r="AV184" s="277">
        <f t="shared" si="45"/>
        <v>0</v>
      </c>
      <c r="AW184" s="277">
        <f t="shared" si="45"/>
        <v>0</v>
      </c>
      <c r="AX184" s="277">
        <f t="shared" si="45"/>
        <v>0</v>
      </c>
      <c r="AY184" s="277">
        <f t="shared" si="45"/>
        <v>0</v>
      </c>
      <c r="AZ184" s="277">
        <f t="shared" si="45"/>
        <v>0</v>
      </c>
      <c r="BA184" s="277">
        <f t="shared" si="45"/>
        <v>0</v>
      </c>
      <c r="BB184" s="277">
        <f t="shared" si="45"/>
        <v>0</v>
      </c>
    </row>
    <row r="185" spans="1:54">
      <c r="A185" s="269"/>
      <c r="B185" s="269"/>
      <c r="C185" s="269"/>
      <c r="D185" s="269"/>
      <c r="E185" s="269"/>
      <c r="F185" s="275"/>
      <c r="G185" s="276"/>
      <c r="H185" s="269"/>
      <c r="I185" s="370"/>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69"/>
      <c r="AV185" s="269"/>
      <c r="AW185" s="269"/>
      <c r="AX185" s="269"/>
      <c r="AY185" s="269"/>
      <c r="AZ185" s="269"/>
      <c r="BA185" s="269"/>
      <c r="BB185" s="269"/>
    </row>
    <row r="186" spans="1:54">
      <c r="A186" s="269"/>
      <c r="B186" s="269"/>
      <c r="C186" s="269"/>
      <c r="D186" s="269"/>
      <c r="E186" s="269"/>
      <c r="F186" s="275"/>
      <c r="G186" s="276"/>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69"/>
      <c r="AV186" s="269"/>
      <c r="AW186" s="269"/>
      <c r="AX186" s="269"/>
      <c r="AY186" s="269"/>
      <c r="AZ186" s="269"/>
      <c r="BA186" s="269"/>
      <c r="BB186" s="269"/>
    </row>
    <row r="187" spans="1:54">
      <c r="A187" s="269"/>
      <c r="B187" s="269"/>
      <c r="C187" s="269"/>
      <c r="D187" s="270" t="s">
        <v>34</v>
      </c>
      <c r="E187" s="270"/>
      <c r="F187" s="269"/>
      <c r="G187" s="271"/>
      <c r="H187" s="269"/>
      <c r="I187" s="277"/>
      <c r="J187" s="277"/>
      <c r="K187" s="277"/>
      <c r="L187" s="277"/>
      <c r="M187" s="277"/>
      <c r="N187" s="277"/>
      <c r="O187" s="277"/>
      <c r="P187" s="277"/>
      <c r="Q187" s="277"/>
      <c r="R187" s="277"/>
      <c r="S187" s="277"/>
      <c r="T187" s="277"/>
      <c r="U187" s="277"/>
      <c r="V187" s="277"/>
      <c r="W187" s="277"/>
      <c r="X187" s="277"/>
      <c r="Y187" s="277"/>
      <c r="Z187" s="277"/>
      <c r="AA187" s="277"/>
      <c r="AB187" s="277"/>
      <c r="AC187" s="277"/>
      <c r="AD187" s="277"/>
      <c r="AE187" s="277"/>
      <c r="AF187" s="277"/>
      <c r="AG187" s="277"/>
      <c r="AH187" s="277"/>
      <c r="AI187" s="277"/>
      <c r="AJ187" s="277"/>
      <c r="AK187" s="277"/>
      <c r="AL187" s="277"/>
      <c r="AM187" s="277"/>
      <c r="AN187" s="277"/>
      <c r="AO187" s="277"/>
      <c r="AP187" s="277"/>
      <c r="AQ187" s="277"/>
      <c r="AR187" s="277"/>
      <c r="AS187" s="277"/>
      <c r="AT187" s="277"/>
      <c r="AU187" s="277"/>
      <c r="AV187" s="277"/>
      <c r="AW187" s="277"/>
      <c r="AX187" s="277"/>
      <c r="AY187" s="277"/>
      <c r="AZ187" s="277"/>
      <c r="BA187" s="277"/>
      <c r="BB187" s="277"/>
    </row>
    <row r="188" spans="1:54">
      <c r="A188" s="269"/>
      <c r="B188" s="269"/>
      <c r="C188" s="269"/>
      <c r="D188" s="269"/>
      <c r="E188" s="269" t="s">
        <v>382</v>
      </c>
      <c r="F188" s="269" t="s">
        <v>248</v>
      </c>
      <c r="G188" s="271"/>
      <c r="H188" s="278">
        <f>SUM(I188:BB188)</f>
        <v>43078112.294827618</v>
      </c>
      <c r="I188" s="72">
        <f>I183*I184*$G$179*I182</f>
        <v>0</v>
      </c>
      <c r="J188" s="72">
        <f t="shared" ref="J188:BB188" si="46">J183*J184*$G$179*J182</f>
        <v>0</v>
      </c>
      <c r="K188" s="72">
        <f t="shared" si="46"/>
        <v>0</v>
      </c>
      <c r="L188" s="72">
        <f t="shared" si="46"/>
        <v>0</v>
      </c>
      <c r="M188" s="72">
        <f t="shared" si="46"/>
        <v>0</v>
      </c>
      <c r="N188" s="72">
        <f t="shared" si="46"/>
        <v>0</v>
      </c>
      <c r="O188" s="72">
        <f t="shared" si="46"/>
        <v>0</v>
      </c>
      <c r="P188" s="72">
        <f t="shared" si="46"/>
        <v>949414.75818749971</v>
      </c>
      <c r="Q188" s="72">
        <f t="shared" si="46"/>
        <v>1478555.2500840076</v>
      </c>
      <c r="R188" s="72">
        <f t="shared" si="46"/>
        <v>1691224.1559180156</v>
      </c>
      <c r="S188" s="72">
        <f t="shared" si="46"/>
        <v>1903893.0617520236</v>
      </c>
      <c r="T188" s="72">
        <f t="shared" si="46"/>
        <v>2116561.9675860316</v>
      </c>
      <c r="U188" s="72">
        <f t="shared" si="46"/>
        <v>2329230.8734200397</v>
      </c>
      <c r="V188" s="72">
        <f t="shared" si="46"/>
        <v>2329230.8734199996</v>
      </c>
      <c r="W188" s="72">
        <f t="shared" si="46"/>
        <v>2329230.8734199996</v>
      </c>
      <c r="X188" s="72">
        <f t="shared" si="46"/>
        <v>2329230.8734199996</v>
      </c>
      <c r="Y188" s="72">
        <f t="shared" si="46"/>
        <v>2329230.8734199996</v>
      </c>
      <c r="Z188" s="72">
        <f t="shared" si="46"/>
        <v>2329230.8734199996</v>
      </c>
      <c r="AA188" s="72">
        <f t="shared" si="46"/>
        <v>2329230.8734199996</v>
      </c>
      <c r="AB188" s="72">
        <f t="shared" si="46"/>
        <v>2329230.8734199996</v>
      </c>
      <c r="AC188" s="72">
        <f t="shared" si="46"/>
        <v>2329230.8734199996</v>
      </c>
      <c r="AD188" s="72">
        <f t="shared" si="46"/>
        <v>2329230.8734199996</v>
      </c>
      <c r="AE188" s="72">
        <f t="shared" si="46"/>
        <v>2329230.8734199996</v>
      </c>
      <c r="AF188" s="72">
        <f t="shared" si="46"/>
        <v>2329230.8734199996</v>
      </c>
      <c r="AG188" s="72">
        <f t="shared" si="46"/>
        <v>2329230.8734199996</v>
      </c>
      <c r="AH188" s="72">
        <f t="shared" si="46"/>
        <v>2329230.8734199996</v>
      </c>
      <c r="AI188" s="72">
        <f t="shared" si="46"/>
        <v>2329230.8734199996</v>
      </c>
      <c r="AJ188" s="72">
        <f t="shared" si="46"/>
        <v>0</v>
      </c>
      <c r="AK188" s="72">
        <f t="shared" si="46"/>
        <v>0</v>
      </c>
      <c r="AL188" s="72">
        <f t="shared" si="46"/>
        <v>0</v>
      </c>
      <c r="AM188" s="72">
        <f t="shared" si="46"/>
        <v>0</v>
      </c>
      <c r="AN188" s="72">
        <f t="shared" si="46"/>
        <v>0</v>
      </c>
      <c r="AO188" s="72">
        <f t="shared" si="46"/>
        <v>0</v>
      </c>
      <c r="AP188" s="72">
        <f t="shared" si="46"/>
        <v>0</v>
      </c>
      <c r="AQ188" s="72">
        <f t="shared" si="46"/>
        <v>0</v>
      </c>
      <c r="AR188" s="72">
        <f t="shared" si="46"/>
        <v>0</v>
      </c>
      <c r="AS188" s="72">
        <f t="shared" si="46"/>
        <v>0</v>
      </c>
      <c r="AT188" s="72">
        <f t="shared" si="46"/>
        <v>0</v>
      </c>
      <c r="AU188" s="72">
        <f t="shared" si="46"/>
        <v>0</v>
      </c>
      <c r="AV188" s="72">
        <f t="shared" si="46"/>
        <v>0</v>
      </c>
      <c r="AW188" s="72">
        <f t="shared" si="46"/>
        <v>0</v>
      </c>
      <c r="AX188" s="72">
        <f t="shared" si="46"/>
        <v>0</v>
      </c>
      <c r="AY188" s="72">
        <f t="shared" si="46"/>
        <v>0</v>
      </c>
      <c r="AZ188" s="72">
        <f t="shared" si="46"/>
        <v>0</v>
      </c>
      <c r="BA188" s="72">
        <f t="shared" si="46"/>
        <v>0</v>
      </c>
      <c r="BB188" s="72">
        <f t="shared" si="46"/>
        <v>0</v>
      </c>
    </row>
    <row r="189" spans="1:54">
      <c r="E189" t="s">
        <v>379</v>
      </c>
      <c r="F189" s="269" t="s">
        <v>248</v>
      </c>
      <c r="H189" s="214">
        <f>SUM(I189:BB189)</f>
        <v>27485121.475283768</v>
      </c>
      <c r="I189" s="72">
        <f t="shared" ref="I189:BB189" si="47">I188*I4</f>
        <v>0</v>
      </c>
      <c r="J189" s="72">
        <f t="shared" si="47"/>
        <v>0</v>
      </c>
      <c r="K189" s="72">
        <f t="shared" si="47"/>
        <v>0</v>
      </c>
      <c r="L189" s="72">
        <f t="shared" si="47"/>
        <v>0</v>
      </c>
      <c r="M189" s="72">
        <f t="shared" si="47"/>
        <v>0</v>
      </c>
      <c r="N189" s="72">
        <f t="shared" si="47"/>
        <v>0</v>
      </c>
      <c r="O189" s="72">
        <f t="shared" si="47"/>
        <v>0</v>
      </c>
      <c r="P189" s="72">
        <f t="shared" si="47"/>
        <v>815009.4641066473</v>
      </c>
      <c r="Q189" s="72">
        <f t="shared" si="47"/>
        <v>1231077.9878132159</v>
      </c>
      <c r="R189" s="72">
        <f t="shared" si="47"/>
        <v>1365810.7168516265</v>
      </c>
      <c r="S189" s="72">
        <f t="shared" si="47"/>
        <v>1491328.1957991289</v>
      </c>
      <c r="T189" s="72">
        <f t="shared" si="47"/>
        <v>1608062.7820646074</v>
      </c>
      <c r="U189" s="72">
        <f t="shared" si="47"/>
        <v>1716429.1642102501</v>
      </c>
      <c r="V189" s="72">
        <f t="shared" si="47"/>
        <v>1664819.7519012811</v>
      </c>
      <c r="W189" s="72">
        <f t="shared" si="47"/>
        <v>1614762.1259954229</v>
      </c>
      <c r="X189" s="72">
        <f t="shared" si="47"/>
        <v>1566209.6275416324</v>
      </c>
      <c r="Y189" s="72">
        <f t="shared" si="47"/>
        <v>1519117.000525347</v>
      </c>
      <c r="Z189" s="72">
        <f t="shared" si="47"/>
        <v>1473440.3496851088</v>
      </c>
      <c r="AA189" s="72">
        <f t="shared" si="47"/>
        <v>1429137.0995975835</v>
      </c>
      <c r="AB189" s="72">
        <f t="shared" si="47"/>
        <v>1386165.9549928063</v>
      </c>
      <c r="AC189" s="72">
        <f t="shared" si="47"/>
        <v>1344486.8622626641</v>
      </c>
      <c r="AD189" s="72">
        <f t="shared" si="47"/>
        <v>1304060.9721267354</v>
      </c>
      <c r="AE189" s="72">
        <f t="shared" si="47"/>
        <v>1264850.6034206939</v>
      </c>
      <c r="AF189" s="72">
        <f t="shared" si="47"/>
        <v>1226819.2079735149</v>
      </c>
      <c r="AG189" s="72">
        <f t="shared" si="47"/>
        <v>1189931.3365407519</v>
      </c>
      <c r="AH189" s="72">
        <f t="shared" si="47"/>
        <v>1154152.6057621259</v>
      </c>
      <c r="AI189" s="72">
        <f t="shared" si="47"/>
        <v>1119449.6661126344</v>
      </c>
      <c r="AJ189" s="72">
        <f t="shared" si="47"/>
        <v>0</v>
      </c>
      <c r="AK189" s="72">
        <f t="shared" si="47"/>
        <v>0</v>
      </c>
      <c r="AL189" s="72">
        <f t="shared" si="47"/>
        <v>0</v>
      </c>
      <c r="AM189" s="72">
        <f t="shared" si="47"/>
        <v>0</v>
      </c>
      <c r="AN189" s="72">
        <f t="shared" si="47"/>
        <v>0</v>
      </c>
      <c r="AO189" s="72">
        <f t="shared" si="47"/>
        <v>0</v>
      </c>
      <c r="AP189" s="72">
        <f t="shared" si="47"/>
        <v>0</v>
      </c>
      <c r="AQ189" s="72">
        <f t="shared" si="47"/>
        <v>0</v>
      </c>
      <c r="AR189" s="72">
        <f t="shared" si="47"/>
        <v>0</v>
      </c>
      <c r="AS189" s="72">
        <f t="shared" si="47"/>
        <v>0</v>
      </c>
      <c r="AT189" s="72">
        <f t="shared" si="47"/>
        <v>0</v>
      </c>
      <c r="AU189" s="72">
        <f t="shared" si="47"/>
        <v>0</v>
      </c>
      <c r="AV189" s="72">
        <f t="shared" si="47"/>
        <v>0</v>
      </c>
      <c r="AW189" s="72">
        <f t="shared" si="47"/>
        <v>0</v>
      </c>
      <c r="AX189" s="72">
        <f t="shared" si="47"/>
        <v>0</v>
      </c>
      <c r="AY189" s="72">
        <f t="shared" si="47"/>
        <v>0</v>
      </c>
      <c r="AZ189" s="72">
        <f t="shared" si="47"/>
        <v>0</v>
      </c>
      <c r="BA189" s="72">
        <f t="shared" si="47"/>
        <v>0</v>
      </c>
      <c r="BB189" s="72">
        <f t="shared" si="47"/>
        <v>0</v>
      </c>
    </row>
  </sheetData>
  <pageMargins left="0.7" right="0.7" top="0.75" bottom="0.75" header="0.3" footer="0.3"/>
  <pageSetup orientation="portrait" horizont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8F0E-98A1-4833-BB77-C13486442C8B}">
  <sheetPr>
    <tabColor rgb="FFFFC000"/>
  </sheetPr>
  <dimension ref="A1:Z47"/>
  <sheetViews>
    <sheetView showGridLines="0" zoomScaleNormal="100" workbookViewId="0">
      <pane xSplit="6" topLeftCell="G1" activePane="topRight" state="frozen"/>
      <selection activeCell="A19" sqref="A19"/>
      <selection pane="topRight"/>
    </sheetView>
  </sheetViews>
  <sheetFormatPr defaultColWidth="9.28515625" defaultRowHeight="15"/>
  <cols>
    <col min="1" max="1" width="4.28515625" customWidth="1"/>
    <col min="2" max="2" width="6.5703125" customWidth="1"/>
    <col min="3" max="3" width="4.28515625" customWidth="1"/>
    <col min="4" max="4" width="7.7109375" customWidth="1"/>
    <col min="5" max="5" width="20.28515625" customWidth="1"/>
    <col min="6" max="8" width="15.28515625" customWidth="1"/>
    <col min="9" max="9" width="17.7109375" style="19" customWidth="1"/>
    <col min="10" max="10" width="16.7109375" bestFit="1" customWidth="1"/>
    <col min="11" max="11" width="17.7109375" bestFit="1" customWidth="1"/>
    <col min="12" max="13" width="15.28515625" bestFit="1" customWidth="1"/>
    <col min="14" max="14" width="17.7109375" bestFit="1" customWidth="1"/>
    <col min="15" max="19" width="15.28515625" customWidth="1"/>
  </cols>
  <sheetData>
    <row r="1" spans="1:26">
      <c r="A1" s="12" t="s">
        <v>261</v>
      </c>
    </row>
    <row r="3" spans="1:26" ht="14.1" customHeight="1">
      <c r="A3" s="12" t="s">
        <v>348</v>
      </c>
      <c r="E3" s="12"/>
      <c r="F3" s="44"/>
      <c r="G3" s="44"/>
      <c r="H3" s="44"/>
      <c r="I3" s="46"/>
      <c r="J3" s="45"/>
    </row>
    <row r="4" spans="1:26">
      <c r="B4" s="12"/>
    </row>
    <row r="5" spans="1:26">
      <c r="E5" s="44" t="s">
        <v>55</v>
      </c>
      <c r="F5" s="46" t="s">
        <v>41</v>
      </c>
      <c r="G5" s="46">
        <v>2019</v>
      </c>
      <c r="H5" s="46">
        <v>2020</v>
      </c>
      <c r="I5" s="109">
        <v>2021</v>
      </c>
      <c r="J5" s="109">
        <f>I5+1</f>
        <v>2022</v>
      </c>
      <c r="K5" s="109">
        <f t="shared" ref="K5:P5" si="0">J5+1</f>
        <v>2023</v>
      </c>
      <c r="L5" s="109">
        <f t="shared" si="0"/>
        <v>2024</v>
      </c>
      <c r="M5" s="109">
        <f t="shared" si="0"/>
        <v>2025</v>
      </c>
      <c r="N5" s="109">
        <f t="shared" si="0"/>
        <v>2026</v>
      </c>
      <c r="O5" s="109">
        <f t="shared" si="0"/>
        <v>2027</v>
      </c>
      <c r="P5" s="109">
        <f t="shared" si="0"/>
        <v>2028</v>
      </c>
      <c r="Q5" s="109">
        <v>2029</v>
      </c>
      <c r="R5" s="109" t="s">
        <v>139</v>
      </c>
    </row>
    <row r="6" spans="1:26">
      <c r="E6" s="42" t="s">
        <v>134</v>
      </c>
      <c r="F6" s="47" t="s">
        <v>46</v>
      </c>
      <c r="G6" s="106">
        <f t="shared" ref="G6:Q6" si="1">G18*((1+$F$14)^($J$5-G$5))</f>
        <v>0</v>
      </c>
      <c r="H6" s="196">
        <f>H18*((1+$F$14)^($J$5-H$5))</f>
        <v>6008817.3913043486</v>
      </c>
      <c r="I6" s="106">
        <f t="shared" si="1"/>
        <v>0</v>
      </c>
      <c r="J6" s="106">
        <f t="shared" si="1"/>
        <v>0</v>
      </c>
      <c r="K6" s="106">
        <f t="shared" si="1"/>
        <v>0</v>
      </c>
      <c r="L6" s="106">
        <f t="shared" si="1"/>
        <v>0</v>
      </c>
      <c r="M6" s="106">
        <f t="shared" si="1"/>
        <v>0</v>
      </c>
      <c r="N6" s="106">
        <f t="shared" si="1"/>
        <v>0</v>
      </c>
      <c r="O6" s="106">
        <f t="shared" si="1"/>
        <v>0</v>
      </c>
      <c r="P6" s="106">
        <f t="shared" si="1"/>
        <v>0</v>
      </c>
      <c r="Q6" s="106">
        <f t="shared" si="1"/>
        <v>0</v>
      </c>
      <c r="R6" s="107">
        <f t="shared" ref="R6:R10" si="2">SUM(I6:Q6)</f>
        <v>0</v>
      </c>
    </row>
    <row r="7" spans="1:26">
      <c r="E7" s="42" t="s">
        <v>135</v>
      </c>
      <c r="F7" s="47" t="s">
        <v>46</v>
      </c>
      <c r="G7" s="106">
        <f t="shared" ref="G7:Q7" si="3">G19*((1+$F$14)^($J$5-G$5))</f>
        <v>0</v>
      </c>
      <c r="H7" s="106">
        <f t="shared" si="3"/>
        <v>0</v>
      </c>
      <c r="I7" s="106">
        <f t="shared" si="3"/>
        <v>0</v>
      </c>
      <c r="J7" s="106">
        <f t="shared" si="3"/>
        <v>2008465.1304347827</v>
      </c>
      <c r="K7" s="106">
        <f t="shared" si="3"/>
        <v>0</v>
      </c>
      <c r="L7" s="106">
        <f t="shared" si="3"/>
        <v>0</v>
      </c>
      <c r="M7" s="106">
        <f t="shared" si="3"/>
        <v>0</v>
      </c>
      <c r="N7" s="106">
        <f t="shared" si="3"/>
        <v>0</v>
      </c>
      <c r="O7" s="106">
        <f t="shared" si="3"/>
        <v>0</v>
      </c>
      <c r="P7" s="106">
        <f t="shared" si="3"/>
        <v>0</v>
      </c>
      <c r="Q7" s="106">
        <f t="shared" si="3"/>
        <v>0</v>
      </c>
      <c r="R7" s="107">
        <f t="shared" si="2"/>
        <v>2008465.1304347827</v>
      </c>
    </row>
    <row r="8" spans="1:26">
      <c r="E8" s="42" t="s">
        <v>136</v>
      </c>
      <c r="F8" s="47" t="s">
        <v>46</v>
      </c>
      <c r="G8" s="106">
        <f t="shared" ref="G8:Q8" si="4">G20*((1+$F$14)^($J$5-G$5))</f>
        <v>0</v>
      </c>
      <c r="H8" s="106">
        <f t="shared" si="4"/>
        <v>0</v>
      </c>
      <c r="I8" s="106">
        <f t="shared" si="4"/>
        <v>0</v>
      </c>
      <c r="J8" s="106">
        <f t="shared" si="4"/>
        <v>0</v>
      </c>
      <c r="K8" s="106">
        <f t="shared" si="4"/>
        <v>0</v>
      </c>
      <c r="L8" s="106">
        <f t="shared" si="4"/>
        <v>740058.73976504081</v>
      </c>
      <c r="M8" s="106">
        <f t="shared" si="4"/>
        <v>0</v>
      </c>
      <c r="N8" s="106">
        <f t="shared" si="4"/>
        <v>0</v>
      </c>
      <c r="O8" s="106">
        <f t="shared" si="4"/>
        <v>0</v>
      </c>
      <c r="P8" s="106">
        <f t="shared" si="4"/>
        <v>0</v>
      </c>
      <c r="Q8" s="106">
        <f t="shared" si="4"/>
        <v>0</v>
      </c>
      <c r="R8" s="107">
        <f t="shared" si="2"/>
        <v>740058.73976504081</v>
      </c>
    </row>
    <row r="9" spans="1:26">
      <c r="E9" s="42" t="s">
        <v>137</v>
      </c>
      <c r="F9" s="47" t="s">
        <v>46</v>
      </c>
      <c r="G9" s="106">
        <f t="shared" ref="G9:Q9" si="5">G21*((1+$F$14)^($J$5-G$5))</f>
        <v>0</v>
      </c>
      <c r="H9" s="106">
        <f t="shared" si="5"/>
        <v>0</v>
      </c>
      <c r="I9" s="106">
        <f t="shared" si="5"/>
        <v>0</v>
      </c>
      <c r="J9" s="106">
        <f t="shared" si="5"/>
        <v>0</v>
      </c>
      <c r="K9" s="106">
        <f t="shared" si="5"/>
        <v>0</v>
      </c>
      <c r="L9" s="106">
        <f t="shared" si="5"/>
        <v>0</v>
      </c>
      <c r="M9" s="106">
        <f t="shared" si="5"/>
        <v>15742861.556855654</v>
      </c>
      <c r="N9" s="106">
        <f t="shared" si="5"/>
        <v>19802341.58095051</v>
      </c>
      <c r="O9" s="106">
        <f t="shared" si="5"/>
        <v>4670363.5804128554</v>
      </c>
      <c r="P9" s="106">
        <f t="shared" si="5"/>
        <v>0</v>
      </c>
      <c r="Q9" s="106">
        <f t="shared" si="5"/>
        <v>0</v>
      </c>
      <c r="R9" s="107">
        <f t="shared" si="2"/>
        <v>40215566.718219019</v>
      </c>
      <c r="S9" s="155"/>
      <c r="T9" s="155"/>
      <c r="U9" s="155"/>
      <c r="V9" s="155"/>
    </row>
    <row r="10" spans="1:26">
      <c r="E10" s="42" t="s">
        <v>138</v>
      </c>
      <c r="F10" s="47" t="s">
        <v>46</v>
      </c>
      <c r="G10" s="106">
        <f t="shared" ref="G10:Q10" si="6">G22*((1+$F$14)^($J$5-G$5))</f>
        <v>0</v>
      </c>
      <c r="H10" s="106">
        <f t="shared" si="6"/>
        <v>0</v>
      </c>
      <c r="I10" s="106">
        <f t="shared" si="6"/>
        <v>0</v>
      </c>
      <c r="J10" s="106">
        <f t="shared" si="6"/>
        <v>0</v>
      </c>
      <c r="K10" s="106">
        <f t="shared" si="6"/>
        <v>0</v>
      </c>
      <c r="L10" s="106">
        <f t="shared" si="6"/>
        <v>0</v>
      </c>
      <c r="M10" s="106">
        <f t="shared" si="6"/>
        <v>0</v>
      </c>
      <c r="N10" s="106">
        <f t="shared" si="6"/>
        <v>0</v>
      </c>
      <c r="O10" s="106">
        <f t="shared" si="6"/>
        <v>0</v>
      </c>
      <c r="P10" s="106">
        <f t="shared" si="6"/>
        <v>0</v>
      </c>
      <c r="Q10" s="106">
        <f t="shared" si="6"/>
        <v>0</v>
      </c>
      <c r="R10" s="107">
        <f t="shared" si="2"/>
        <v>0</v>
      </c>
      <c r="S10" s="155"/>
      <c r="T10" s="155"/>
      <c r="U10" s="155"/>
      <c r="V10" s="155"/>
      <c r="W10" s="155"/>
      <c r="X10" s="155"/>
      <c r="Y10" s="155"/>
      <c r="Z10" s="155"/>
    </row>
    <row r="11" spans="1:26">
      <c r="E11" s="44" t="s">
        <v>57</v>
      </c>
      <c r="F11" s="47" t="s">
        <v>46</v>
      </c>
      <c r="G11" s="107">
        <f t="shared" ref="G11:R11" si="7">SUM(G6:G10)</f>
        <v>0</v>
      </c>
      <c r="H11" s="107">
        <f t="shared" si="7"/>
        <v>6008817.3913043486</v>
      </c>
      <c r="I11" s="107">
        <f t="shared" si="7"/>
        <v>0</v>
      </c>
      <c r="J11" s="107">
        <f t="shared" si="7"/>
        <v>2008465.1304347827</v>
      </c>
      <c r="K11" s="107">
        <f t="shared" si="7"/>
        <v>0</v>
      </c>
      <c r="L11" s="107">
        <f t="shared" si="7"/>
        <v>740058.73976504081</v>
      </c>
      <c r="M11" s="107">
        <f t="shared" si="7"/>
        <v>15742861.556855654</v>
      </c>
      <c r="N11" s="107">
        <f t="shared" si="7"/>
        <v>19802341.58095051</v>
      </c>
      <c r="O11" s="107">
        <f t="shared" si="7"/>
        <v>4670363.5804128554</v>
      </c>
      <c r="P11" s="107">
        <f t="shared" si="7"/>
        <v>0</v>
      </c>
      <c r="Q11" s="107">
        <f t="shared" si="7"/>
        <v>0</v>
      </c>
      <c r="R11" s="107">
        <f t="shared" si="7"/>
        <v>42964090.588418841</v>
      </c>
      <c r="S11" s="155"/>
      <c r="T11" s="155"/>
      <c r="U11" s="155"/>
      <c r="V11" s="155"/>
    </row>
    <row r="12" spans="1:26">
      <c r="J12" s="36" t="s">
        <v>349</v>
      </c>
    </row>
    <row r="14" spans="1:26">
      <c r="E14" t="s">
        <v>350</v>
      </c>
      <c r="F14" s="198">
        <f>'Project Assumptions'!$G$7</f>
        <v>0.06</v>
      </c>
      <c r="G14" s="211"/>
      <c r="H14" s="211"/>
    </row>
    <row r="16" spans="1:26">
      <c r="A16" s="12" t="s">
        <v>351</v>
      </c>
    </row>
    <row r="17" spans="1:18">
      <c r="E17" s="44" t="s">
        <v>55</v>
      </c>
      <c r="F17" s="46" t="s">
        <v>41</v>
      </c>
      <c r="G17" s="46">
        <v>2019</v>
      </c>
      <c r="H17" s="46">
        <v>2020</v>
      </c>
      <c r="I17" s="109">
        <v>2021</v>
      </c>
      <c r="J17" s="109">
        <f>I17+1</f>
        <v>2022</v>
      </c>
      <c r="K17" s="109">
        <f t="shared" ref="K17:P17" si="8">J17+1</f>
        <v>2023</v>
      </c>
      <c r="L17" s="109">
        <f t="shared" si="8"/>
        <v>2024</v>
      </c>
      <c r="M17" s="109">
        <f t="shared" si="8"/>
        <v>2025</v>
      </c>
      <c r="N17" s="109">
        <f t="shared" si="8"/>
        <v>2026</v>
      </c>
      <c r="O17" s="109">
        <f t="shared" si="8"/>
        <v>2027</v>
      </c>
      <c r="P17" s="109">
        <f t="shared" si="8"/>
        <v>2028</v>
      </c>
      <c r="Q17" s="109">
        <v>2029</v>
      </c>
      <c r="R17" s="109" t="s">
        <v>139</v>
      </c>
    </row>
    <row r="18" spans="1:18">
      <c r="E18" s="42" t="s">
        <v>134</v>
      </c>
      <c r="F18" s="47" t="s">
        <v>352</v>
      </c>
      <c r="G18" s="200">
        <v>0</v>
      </c>
      <c r="H18" s="200">
        <f>G34</f>
        <v>5347826.0869565215</v>
      </c>
      <c r="I18" s="200">
        <v>0</v>
      </c>
      <c r="J18" s="200">
        <v>0</v>
      </c>
      <c r="K18" s="200">
        <v>0</v>
      </c>
      <c r="L18" s="200">
        <v>0</v>
      </c>
      <c r="M18" s="200">
        <v>0</v>
      </c>
      <c r="N18" s="200">
        <v>0</v>
      </c>
      <c r="O18" s="200">
        <v>0</v>
      </c>
      <c r="P18" s="200">
        <v>0</v>
      </c>
      <c r="Q18" s="200">
        <v>0</v>
      </c>
      <c r="R18" s="91">
        <f t="shared" ref="R18:R19" si="9">SUM(I18:Q18)</f>
        <v>0</v>
      </c>
    </row>
    <row r="19" spans="1:18">
      <c r="E19" s="42" t="s">
        <v>135</v>
      </c>
      <c r="F19" s="19" t="s">
        <v>353</v>
      </c>
      <c r="G19" s="200">
        <v>0</v>
      </c>
      <c r="H19" s="200">
        <v>0</v>
      </c>
      <c r="I19" s="200">
        <v>0</v>
      </c>
      <c r="J19" s="200">
        <f>G47</f>
        <v>2008465.1304347827</v>
      </c>
      <c r="K19" s="200">
        <v>0</v>
      </c>
      <c r="L19" s="200">
        <v>0</v>
      </c>
      <c r="M19" s="200">
        <v>0</v>
      </c>
      <c r="N19" s="200">
        <v>0</v>
      </c>
      <c r="O19" s="200">
        <v>0</v>
      </c>
      <c r="P19" s="200">
        <v>0</v>
      </c>
      <c r="Q19" s="200">
        <v>0</v>
      </c>
      <c r="R19" s="91">
        <f t="shared" si="9"/>
        <v>2008465.1304347827</v>
      </c>
    </row>
    <row r="20" spans="1:18">
      <c r="E20" s="42" t="s">
        <v>136</v>
      </c>
      <c r="F20" s="19" t="s">
        <v>353</v>
      </c>
      <c r="G20" s="200">
        <v>0</v>
      </c>
      <c r="H20" s="200">
        <v>0</v>
      </c>
      <c r="I20" s="200">
        <v>0</v>
      </c>
      <c r="J20" s="200">
        <v>0</v>
      </c>
      <c r="K20" s="200">
        <v>0</v>
      </c>
      <c r="L20" s="200">
        <v>831530</v>
      </c>
      <c r="M20" s="200"/>
      <c r="N20" s="200"/>
      <c r="O20" s="200"/>
      <c r="P20" s="200"/>
      <c r="Q20" s="200"/>
      <c r="R20" s="91">
        <f>SUM(I20:Q20)</f>
        <v>831530</v>
      </c>
    </row>
    <row r="21" spans="1:18">
      <c r="E21" s="42" t="s">
        <v>137</v>
      </c>
      <c r="F21" s="19" t="s">
        <v>353</v>
      </c>
      <c r="G21" s="200">
        <v>0</v>
      </c>
      <c r="H21" s="200">
        <v>0</v>
      </c>
      <c r="I21" s="200">
        <v>0</v>
      </c>
      <c r="J21" s="200">
        <v>0</v>
      </c>
      <c r="K21" s="200">
        <v>0</v>
      </c>
      <c r="L21" s="200"/>
      <c r="M21" s="200">
        <v>18750000</v>
      </c>
      <c r="N21" s="200">
        <v>25000000</v>
      </c>
      <c r="O21" s="200">
        <v>6250000</v>
      </c>
      <c r="P21" s="200"/>
      <c r="Q21" s="200"/>
      <c r="R21" s="91">
        <f>SUM(I21:Q21)</f>
        <v>50000000</v>
      </c>
    </row>
    <row r="22" spans="1:18">
      <c r="E22" s="42" t="s">
        <v>138</v>
      </c>
      <c r="F22" s="19" t="s">
        <v>353</v>
      </c>
      <c r="G22" s="200">
        <v>0</v>
      </c>
      <c r="H22" s="200">
        <v>0</v>
      </c>
      <c r="I22" s="200">
        <v>0</v>
      </c>
      <c r="J22" s="200">
        <v>0</v>
      </c>
      <c r="K22" s="200">
        <v>0</v>
      </c>
      <c r="L22" s="200"/>
      <c r="M22" s="200"/>
      <c r="N22" s="200"/>
      <c r="O22" s="200"/>
      <c r="P22" s="200"/>
      <c r="Q22" s="200"/>
      <c r="R22" s="91">
        <f t="shared" ref="R22" si="10">SUM(I22:Q22)</f>
        <v>0</v>
      </c>
    </row>
    <row r="23" spans="1:18">
      <c r="E23" s="44" t="s">
        <v>57</v>
      </c>
      <c r="F23" s="19" t="s">
        <v>353</v>
      </c>
      <c r="G23" s="91">
        <f t="shared" ref="G23:Q23" si="11">SUM(G18:G22)</f>
        <v>0</v>
      </c>
      <c r="H23" s="91">
        <f t="shared" si="11"/>
        <v>5347826.0869565215</v>
      </c>
      <c r="I23" s="91">
        <f t="shared" si="11"/>
        <v>0</v>
      </c>
      <c r="J23" s="91">
        <f t="shared" si="11"/>
        <v>2008465.1304347827</v>
      </c>
      <c r="K23" s="91">
        <f t="shared" si="11"/>
        <v>0</v>
      </c>
      <c r="L23" s="91">
        <f t="shared" si="11"/>
        <v>831530</v>
      </c>
      <c r="M23" s="91">
        <f t="shared" si="11"/>
        <v>18750000</v>
      </c>
      <c r="N23" s="91">
        <f t="shared" si="11"/>
        <v>25000000</v>
      </c>
      <c r="O23" s="91">
        <f t="shared" si="11"/>
        <v>6250000</v>
      </c>
      <c r="P23" s="91">
        <f t="shared" si="11"/>
        <v>0</v>
      </c>
      <c r="Q23" s="91">
        <f t="shared" si="11"/>
        <v>0</v>
      </c>
      <c r="R23" s="91">
        <f>SUM(I23:Q23)</f>
        <v>52839995.130434781</v>
      </c>
    </row>
    <row r="24" spans="1:18">
      <c r="E24" s="42" t="s">
        <v>385</v>
      </c>
    </row>
    <row r="25" spans="1:18">
      <c r="E25" s="42" t="s">
        <v>436</v>
      </c>
    </row>
    <row r="29" spans="1:18">
      <c r="A29" s="12" t="s">
        <v>354</v>
      </c>
    </row>
    <row r="30" spans="1:18">
      <c r="D30" s="12" t="s">
        <v>134</v>
      </c>
    </row>
    <row r="31" spans="1:18">
      <c r="E31" t="s">
        <v>355</v>
      </c>
    </row>
    <row r="33" spans="5:8">
      <c r="F33" s="21" t="s">
        <v>41</v>
      </c>
      <c r="G33" s="21" t="s">
        <v>65</v>
      </c>
      <c r="H33" s="12" t="s">
        <v>151</v>
      </c>
    </row>
    <row r="34" spans="5:8" ht="13.9" customHeight="1">
      <c r="E34" t="s">
        <v>356</v>
      </c>
      <c r="F34" s="19" t="s">
        <v>352</v>
      </c>
      <c r="G34" s="200">
        <v>5347826.0869565215</v>
      </c>
      <c r="H34" t="s">
        <v>384</v>
      </c>
    </row>
    <row r="35" spans="5:8">
      <c r="E35" s="12" t="s">
        <v>358</v>
      </c>
      <c r="F35" s="19" t="s">
        <v>352</v>
      </c>
      <c r="G35" s="57">
        <f>G34</f>
        <v>5347826.0869565215</v>
      </c>
    </row>
    <row r="36" spans="5:8">
      <c r="F36" s="19"/>
      <c r="G36" s="57"/>
    </row>
    <row r="37" spans="5:8">
      <c r="E37" t="s">
        <v>359</v>
      </c>
      <c r="F37" s="19" t="s">
        <v>46</v>
      </c>
      <c r="G37" s="200">
        <v>67300</v>
      </c>
      <c r="H37" t="s">
        <v>357</v>
      </c>
    </row>
    <row r="38" spans="5:8">
      <c r="E38" t="s">
        <v>360</v>
      </c>
      <c r="F38" s="19" t="s">
        <v>46</v>
      </c>
      <c r="G38" s="200">
        <v>29054.347826086956</v>
      </c>
      <c r="H38" t="s">
        <v>357</v>
      </c>
    </row>
    <row r="39" spans="5:8">
      <c r="E39" t="s">
        <v>361</v>
      </c>
      <c r="F39" s="19" t="s">
        <v>46</v>
      </c>
      <c r="G39" s="200">
        <v>42991.278260869571</v>
      </c>
      <c r="H39" t="s">
        <v>357</v>
      </c>
    </row>
    <row r="40" spans="5:8">
      <c r="E40" t="s">
        <v>362</v>
      </c>
      <c r="F40" s="19" t="s">
        <v>46</v>
      </c>
      <c r="G40" s="200">
        <v>820429</v>
      </c>
      <c r="H40" t="s">
        <v>357</v>
      </c>
    </row>
    <row r="41" spans="5:8">
      <c r="E41" t="s">
        <v>363</v>
      </c>
      <c r="F41" s="19" t="s">
        <v>46</v>
      </c>
      <c r="G41" s="200">
        <v>337511.50434782612</v>
      </c>
      <c r="H41" t="s">
        <v>357</v>
      </c>
    </row>
    <row r="42" spans="5:8">
      <c r="E42" t="s">
        <v>364</v>
      </c>
      <c r="F42" s="19" t="s">
        <v>46</v>
      </c>
      <c r="G42" s="200">
        <v>166306</v>
      </c>
      <c r="H42" t="s">
        <v>357</v>
      </c>
    </row>
    <row r="43" spans="5:8">
      <c r="E43" t="s">
        <v>365</v>
      </c>
      <c r="F43" s="19" t="s">
        <v>46</v>
      </c>
      <c r="G43" s="200">
        <v>38450</v>
      </c>
      <c r="H43" t="s">
        <v>357</v>
      </c>
    </row>
    <row r="44" spans="5:8">
      <c r="E44" t="s">
        <v>366</v>
      </c>
      <c r="F44" s="19" t="s">
        <v>46</v>
      </c>
      <c r="G44" s="200">
        <v>307000</v>
      </c>
      <c r="H44" t="s">
        <v>357</v>
      </c>
    </row>
    <row r="45" spans="5:8">
      <c r="E45" t="s">
        <v>367</v>
      </c>
      <c r="F45" s="19" t="s">
        <v>46</v>
      </c>
      <c r="G45" s="200">
        <v>29167</v>
      </c>
      <c r="H45" t="s">
        <v>357</v>
      </c>
    </row>
    <row r="46" spans="5:8">
      <c r="E46" t="s">
        <v>368</v>
      </c>
      <c r="F46" s="19" t="s">
        <v>46</v>
      </c>
      <c r="G46" s="200">
        <v>170256</v>
      </c>
      <c r="H46" t="s">
        <v>357</v>
      </c>
    </row>
    <row r="47" spans="5:8">
      <c r="E47" s="12" t="s">
        <v>369</v>
      </c>
      <c r="F47" s="19" t="s">
        <v>46</v>
      </c>
      <c r="G47" s="57">
        <f>SUM(G37:G46)</f>
        <v>2008465.1304347827</v>
      </c>
    </row>
  </sheetData>
  <pageMargins left="0.7" right="0.7" top="0.75" bottom="0.75" header="0.3" footer="0.3"/>
  <pageSetup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472FF-F9FE-45B9-A983-963F94FE5971}">
  <sheetPr>
    <tabColor rgb="FFFFC000"/>
  </sheetPr>
  <dimension ref="A1:X26"/>
  <sheetViews>
    <sheetView showGridLines="0" zoomScale="115" zoomScaleNormal="115" workbookViewId="0"/>
  </sheetViews>
  <sheetFormatPr defaultRowHeight="15"/>
  <cols>
    <col min="1" max="4" width="3.42578125" customWidth="1"/>
    <col min="5" max="5" width="19.7109375" customWidth="1"/>
    <col min="6" max="6" width="12.5703125" style="19" customWidth="1"/>
    <col min="7" max="7" width="14.42578125" style="19" customWidth="1"/>
    <col min="8" max="8" width="43.28515625" style="19" bestFit="1" customWidth="1"/>
    <col min="9" max="9" width="13.42578125" bestFit="1" customWidth="1"/>
  </cols>
  <sheetData>
    <row r="1" spans="1:24">
      <c r="A1" s="12" t="s">
        <v>261</v>
      </c>
    </row>
    <row r="3" spans="1:24">
      <c r="E3" t="s">
        <v>278</v>
      </c>
    </row>
    <row r="5" spans="1:24">
      <c r="F5" s="21" t="s">
        <v>41</v>
      </c>
      <c r="G5" s="21" t="s">
        <v>65</v>
      </c>
      <c r="L5" s="12"/>
      <c r="X5" s="12"/>
    </row>
    <row r="6" spans="1:24">
      <c r="E6" t="s">
        <v>279</v>
      </c>
      <c r="F6" s="19" t="s">
        <v>386</v>
      </c>
      <c r="G6" s="199">
        <v>11686252</v>
      </c>
      <c r="H6" s="36" t="s">
        <v>387</v>
      </c>
      <c r="X6" s="12"/>
    </row>
    <row r="7" spans="1:24">
      <c r="E7" t="s">
        <v>231</v>
      </c>
      <c r="F7" s="19" t="s">
        <v>68</v>
      </c>
      <c r="G7" s="343">
        <v>2027</v>
      </c>
      <c r="X7" s="12"/>
    </row>
    <row r="8" spans="1:24">
      <c r="E8" t="s">
        <v>280</v>
      </c>
      <c r="F8" s="19" t="s">
        <v>62</v>
      </c>
      <c r="G8" s="111">
        <f>escalation_rate</f>
        <v>0.06</v>
      </c>
      <c r="X8" s="12"/>
    </row>
    <row r="9" spans="1:24">
      <c r="E9" t="s">
        <v>279</v>
      </c>
      <c r="F9" s="19" t="s">
        <v>46</v>
      </c>
      <c r="G9" s="344">
        <f>G6/((1+G8)^(G7-2022))</f>
        <v>8732647.3171723038</v>
      </c>
      <c r="I9" s="197"/>
      <c r="X9" s="12"/>
    </row>
    <row r="11" spans="1:24">
      <c r="E11" s="18" t="s">
        <v>281</v>
      </c>
    </row>
    <row r="26" spans="12:12">
      <c r="L26" s="1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6160708-298a-4f3e-a331-16a7ce896a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22E870C3CAB043A4ADD50B1431A067" ma:contentTypeVersion="18" ma:contentTypeDescription="Create a new document." ma:contentTypeScope="" ma:versionID="70ac5c51355d6b80e3b03f8898879b9d">
  <xsd:schema xmlns:xsd="http://www.w3.org/2001/XMLSchema" xmlns:xs="http://www.w3.org/2001/XMLSchema" xmlns:p="http://schemas.microsoft.com/office/2006/metadata/properties" xmlns:ns3="a6160708-298a-4f3e-a331-16a7ce896acd" xmlns:ns4="8e05d44d-5b88-4077-99ed-fc4729dee1bd" targetNamespace="http://schemas.microsoft.com/office/2006/metadata/properties" ma:root="true" ma:fieldsID="519a5957762c6d06c2220e51711ffd29" ns3:_="" ns4:_="">
    <xsd:import namespace="a6160708-298a-4f3e-a331-16a7ce896acd"/>
    <xsd:import namespace="8e05d44d-5b88-4077-99ed-fc4729dee1b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60708-298a-4f3e-a331-16a7ce896a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5d44d-5b88-4077-99ed-fc4729dee1b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727A8-8F45-403C-9667-E8C5EA6EFDAF}">
  <ds:schemaRefs>
    <ds:schemaRef ds:uri="http://purl.org/dc/terms/"/>
    <ds:schemaRef ds:uri="http://schemas.microsoft.com/office/2006/documentManagement/types"/>
    <ds:schemaRef ds:uri="a6160708-298a-4f3e-a331-16a7ce896acd"/>
    <ds:schemaRef ds:uri="http://purl.org/dc/elements/1.1/"/>
    <ds:schemaRef ds:uri="http://schemas.microsoft.com/office/infopath/2007/PartnerControls"/>
    <ds:schemaRef ds:uri="http://schemas.openxmlformats.org/package/2006/metadata/core-properties"/>
    <ds:schemaRef ds:uri="8e05d44d-5b88-4077-99ed-fc4729dee1b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1894077-FC33-4256-8382-99478138C36D}">
  <ds:schemaRefs>
    <ds:schemaRef ds:uri="http://schemas.microsoft.com/sharepoint/v3/contenttype/forms"/>
  </ds:schemaRefs>
</ds:datastoreItem>
</file>

<file path=customXml/itemProps3.xml><?xml version="1.0" encoding="utf-8"?>
<ds:datastoreItem xmlns:ds="http://schemas.openxmlformats.org/officeDocument/2006/customXml" ds:itemID="{9CC5B0E2-8820-498C-BBF2-0926CF505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60708-298a-4f3e-a331-16a7ce896acd"/>
    <ds:schemaRef ds:uri="8e05d44d-5b88-4077-99ed-fc4729dee1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234255-e20f-4205-88a5-9658a402999b}" enabled="0" method="" siteId="{3d234255-e20f-4205-88a5-9658a402999b}"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Guide for Reviewers</vt:lpstr>
      <vt:lpstr>Narrative Tables</vt:lpstr>
      <vt:lpstr>Report Tables</vt:lpstr>
      <vt:lpstr>EmissionsCost_Lookup</vt:lpstr>
      <vt:lpstr>Project Assumptions</vt:lpstr>
      <vt:lpstr>BCA Summary</vt:lpstr>
      <vt:lpstr>Intermediate Calcs</vt:lpstr>
      <vt:lpstr>Capital Costs</vt:lpstr>
      <vt:lpstr>Repurposed ROW</vt:lpstr>
      <vt:lpstr>O&amp;M</vt:lpstr>
      <vt:lpstr>Safety - Old</vt:lpstr>
      <vt:lpstr>Emissions_Lookup_35mph</vt:lpstr>
      <vt:lpstr>annual_factor</vt:lpstr>
      <vt:lpstr>escalation_rate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Cohen, Sophie</dc:creator>
  <cp:keywords/>
  <dc:description/>
  <cp:lastModifiedBy>Ruslanbek Uulu, Bakai</cp:lastModifiedBy>
  <cp:revision/>
  <dcterms:created xsi:type="dcterms:W3CDTF">2022-03-15T15:39:03Z</dcterms:created>
  <dcterms:modified xsi:type="dcterms:W3CDTF">2024-02-27T16:23:17Z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0x0101007F22E870C3CAB043A4ADD50B1431A067</vt:lpwstr>
  </property>
</Properties>
</file>